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7995" activeTab="0"/>
  </bookViews>
  <sheets>
    <sheet name="Foglio1" sheetId="1" r:id="rId1"/>
    <sheet name="Foglio2" sheetId="2" r:id="rId2"/>
  </sheets>
  <definedNames/>
  <calcPr fullCalcOnLoad="1"/>
</workbook>
</file>

<file path=xl/comments1.xml><?xml version="1.0" encoding="utf-8"?>
<comments xmlns="http://schemas.openxmlformats.org/spreadsheetml/2006/main">
  <authors>
    <author>Staff tecnico www.energoclub.it</author>
    <author>energoclub</author>
    <author>ut1</author>
  </authors>
  <commentList>
    <comment ref="D7" authorId="0">
      <text>
        <r>
          <rPr>
            <b/>
            <sz val="8"/>
            <rFont val="Tahoma"/>
            <family val="0"/>
          </rPr>
          <t>Costo delle più recenti centrali nucleari commissionate in Europa.
(EPR in Finlandia e Francia)</t>
        </r>
        <r>
          <rPr>
            <sz val="8"/>
            <rFont val="Tahoma"/>
            <family val="0"/>
          </rPr>
          <t xml:space="preserve">
</t>
        </r>
      </text>
    </comment>
    <comment ref="G7" authorId="0">
      <text>
        <r>
          <rPr>
            <b/>
            <sz val="8"/>
            <rFont val="Tahoma"/>
            <family val="0"/>
          </rPr>
          <t>Costo minimo 600 € kWh</t>
        </r>
        <r>
          <rPr>
            <sz val="8"/>
            <rFont val="Tahoma"/>
            <family val="0"/>
          </rPr>
          <t xml:space="preserve">
</t>
        </r>
      </text>
    </comment>
    <comment ref="H7" authorId="0">
      <text>
        <r>
          <rPr>
            <b/>
            <sz val="8"/>
            <rFont val="Tahoma"/>
            <family val="0"/>
          </rPr>
          <t xml:space="preserve">Il costo minimo delle celle al silicio in Italia è di 5.500 € kWp, il costo minimo Europeo è di 4.500 € kWp, </t>
        </r>
        <r>
          <rPr>
            <sz val="8"/>
            <rFont val="Tahoma"/>
            <family val="0"/>
          </rPr>
          <t xml:space="preserve">
</t>
        </r>
      </text>
    </comment>
    <comment ref="I7" authorId="0">
      <text>
        <r>
          <rPr>
            <b/>
            <sz val="8"/>
            <rFont val="Tahoma"/>
            <family val="0"/>
          </rPr>
          <t xml:space="preserve">I grandi aerogeneratori  possono costare, installati, anche meno di 1000 €, attualmente, in Italia, il costo  minimo è di 1.200 € kWp </t>
        </r>
        <r>
          <rPr>
            <sz val="8"/>
            <rFont val="Tahoma"/>
            <family val="0"/>
          </rPr>
          <t xml:space="preserve">
</t>
        </r>
      </text>
    </comment>
    <comment ref="J7" authorId="0">
      <text>
        <r>
          <rPr>
            <b/>
            <sz val="8"/>
            <rFont val="Tahoma"/>
            <family val="0"/>
          </rPr>
          <t>Per impianti mini e micro, il grande idroelettrico ha costi sensibilmente inferiori</t>
        </r>
        <r>
          <rPr>
            <sz val="8"/>
            <rFont val="Tahoma"/>
            <family val="0"/>
          </rPr>
          <t xml:space="preserve">
</t>
        </r>
      </text>
    </comment>
    <comment ref="K7" authorId="0">
      <text>
        <r>
          <rPr>
            <b/>
            <sz val="8"/>
            <rFont val="Tahoma"/>
            <family val="0"/>
          </rPr>
          <t>In realtà gli impianti geotermici costano 1.500 € al kW installato, il costo proposto copre il rischio di perforazione in acquiferi con scarso potenziale energetico</t>
        </r>
        <r>
          <rPr>
            <sz val="8"/>
            <rFont val="Tahoma"/>
            <family val="0"/>
          </rPr>
          <t xml:space="preserve">
</t>
        </r>
      </text>
    </comment>
    <comment ref="L7" authorId="0">
      <text>
        <r>
          <rPr>
            <b/>
            <sz val="8"/>
            <rFont val="Tahoma"/>
            <family val="0"/>
          </rPr>
          <t>Costo previsto per il progetto Archimede, prototipo dell'ENEA</t>
        </r>
        <r>
          <rPr>
            <sz val="8"/>
            <rFont val="Tahoma"/>
            <family val="0"/>
          </rPr>
          <t xml:space="preserve">
</t>
        </r>
      </text>
    </comment>
    <comment ref="M7" authorId="0">
      <text>
        <r>
          <rPr>
            <b/>
            <sz val="8"/>
            <rFont val="Tahoma"/>
            <family val="0"/>
          </rPr>
          <t>Solitamente le centrali a biomasse possono e devono essere inserite in reti di teleriscaldamento, in questo caso la quota parte di impiantistica per la generazione di energia elettrica è nell'ordine dei 1000 € kW.</t>
        </r>
        <r>
          <rPr>
            <sz val="8"/>
            <rFont val="Tahoma"/>
            <family val="0"/>
          </rPr>
          <t xml:space="preserve">
</t>
        </r>
      </text>
    </comment>
    <comment ref="C12" authorId="0">
      <text>
        <r>
          <rPr>
            <b/>
            <sz val="8"/>
            <rFont val="Tahoma"/>
            <family val="0"/>
          </rPr>
          <t>m€ = millesimi di Euro</t>
        </r>
        <r>
          <rPr>
            <sz val="8"/>
            <rFont val="Tahoma"/>
            <family val="0"/>
          </rPr>
          <t xml:space="preserve">
</t>
        </r>
      </text>
    </comment>
    <comment ref="A17" authorId="0">
      <text>
        <r>
          <rPr>
            <b/>
            <sz val="8"/>
            <rFont val="Tahoma"/>
            <family val="0"/>
          </rPr>
          <t>Costo del combustibile</t>
        </r>
        <r>
          <rPr>
            <sz val="8"/>
            <rFont val="Tahoma"/>
            <family val="0"/>
          </rPr>
          <t xml:space="preserve">
</t>
        </r>
      </text>
    </comment>
    <comment ref="A18" authorId="0">
      <text>
        <r>
          <rPr>
            <b/>
            <sz val="8"/>
            <rFont val="Tahoma"/>
            <family val="0"/>
          </rPr>
          <t>Potere Calorifico Inferiore</t>
        </r>
        <r>
          <rPr>
            <sz val="8"/>
            <rFont val="Tahoma"/>
            <family val="0"/>
          </rPr>
          <t xml:space="preserve">
</t>
        </r>
      </text>
    </comment>
    <comment ref="D18" authorId="0">
      <text>
        <r>
          <rPr>
            <b/>
            <sz val="8"/>
            <rFont val="Tahoma"/>
            <family val="0"/>
          </rPr>
          <t>Un g di U235 sviluppa 22.000 kWh termici, nel reattore si riesce ad utilizzare circa l'80% del materiale fissile, equivalente a circa 28 grammi per kg di UO2 al 3,5% di U235</t>
        </r>
        <r>
          <rPr>
            <sz val="8"/>
            <rFont val="Tahoma"/>
            <family val="0"/>
          </rPr>
          <t xml:space="preserve">
</t>
        </r>
      </text>
    </comment>
    <comment ref="A19" authorId="0">
      <text>
        <r>
          <rPr>
            <b/>
            <sz val="8"/>
            <rFont val="Tahoma"/>
            <family val="0"/>
          </rPr>
          <t>Rapporto tra il costo e il potere calorifico del combustibile</t>
        </r>
        <r>
          <rPr>
            <sz val="8"/>
            <rFont val="Tahoma"/>
            <family val="0"/>
          </rPr>
          <t xml:space="preserve">
</t>
        </r>
      </text>
    </comment>
    <comment ref="A21" authorId="0">
      <text>
        <r>
          <rPr>
            <b/>
            <sz val="8"/>
            <rFont val="Tahoma"/>
            <family val="0"/>
          </rPr>
          <t xml:space="preserve">Costo del combustibile per kWh </t>
        </r>
        <r>
          <rPr>
            <sz val="8"/>
            <rFont val="Tahoma"/>
            <family val="0"/>
          </rPr>
          <t xml:space="preserve">
</t>
        </r>
      </text>
    </comment>
    <comment ref="D33" authorId="0">
      <text>
        <r>
          <rPr>
            <b/>
            <sz val="8"/>
            <rFont val="Tahoma"/>
            <family val="0"/>
          </rPr>
          <t>Dati ricavati dallo studio "Externalities of Energy", progetto di ricerca della Commissione Europea
Fonte:  www.externe.info</t>
        </r>
        <r>
          <rPr>
            <sz val="8"/>
            <rFont val="Tahoma"/>
            <family val="0"/>
          </rPr>
          <t xml:space="preserve">
</t>
        </r>
      </text>
    </comment>
    <comment ref="D41" authorId="0">
      <text>
        <r>
          <rPr>
            <b/>
            <sz val="8"/>
            <rFont val="Tahoma"/>
            <family val="0"/>
          </rPr>
          <t>Secondo il M.I.T. il costo di dismissione degli impianti comporta un aumento del 18% del costo dell'energia prodotta
Fonte:
web.mit.edu/nuclearpower</t>
        </r>
        <r>
          <rPr>
            <sz val="8"/>
            <rFont val="Tahoma"/>
            <family val="0"/>
          </rPr>
          <t xml:space="preserve">
</t>
        </r>
      </text>
    </comment>
    <comment ref="A42" authorId="0">
      <text>
        <r>
          <rPr>
            <b/>
            <sz val="8"/>
            <rFont val="Tahoma"/>
            <family val="0"/>
          </rPr>
          <t>Questa voce comprende tutti i costi non ancora scorporati per settore specifico e quelli dovuti a particolari caratteristiche della singola fonte energetica</t>
        </r>
        <r>
          <rPr>
            <sz val="8"/>
            <rFont val="Tahoma"/>
            <family val="0"/>
          </rPr>
          <t xml:space="preserve">
</t>
        </r>
      </text>
    </comment>
    <comment ref="D42" authorId="1">
      <text>
        <r>
          <rPr>
            <b/>
            <sz val="8"/>
            <rFont val="Tahoma"/>
            <family val="0"/>
          </rPr>
          <t xml:space="preserve">Lo studio ExternE della Commissione Europea non prende in considerazione il costo dello smaltimento e/o della messa in sicurezza e/o dello stoccaggio delle scorie radioattive e del materiale risultante dallo smantellamento delle centrali, (ne valuta soltanto il fatore di rischio per la salute degli addetti) questo fa ritenere più equa la valutazione dello studio Olandese che stima i costi esterni nello stesso ordine di grandezza del costo di generazione 
Fonte: 
http://externe.jrc.es/infosys.html </t>
        </r>
        <r>
          <rPr>
            <sz val="8"/>
            <rFont val="Tahoma"/>
            <family val="0"/>
          </rPr>
          <t xml:space="preserve">
</t>
        </r>
      </text>
    </comment>
    <comment ref="D44" authorId="2">
      <text>
        <r>
          <rPr>
            <b/>
            <sz val="8"/>
            <rFont val="Tahoma"/>
            <family val="0"/>
          </rPr>
          <t>Secondo il Nuclear Decommissioning Authority  inglese  (NDA) i costi per il decommissionig sono superiori ai costi di generazione
http://www.neimagazine.com/story.asp?storyCode=2035326</t>
        </r>
        <r>
          <rPr>
            <sz val="8"/>
            <rFont val="Tahoma"/>
            <family val="0"/>
          </rPr>
          <t xml:space="preserve">
</t>
        </r>
      </text>
    </comment>
    <comment ref="D49" authorId="0">
      <text>
        <r>
          <rPr>
            <b/>
            <sz val="8"/>
            <rFont val="Tahoma"/>
            <family val="0"/>
          </rPr>
          <t>Essendo un parametro poco investigato l'elaborazione dei dati è per il momento sviluppata in modo da poter rapportare tra loro i dati raccolti</t>
        </r>
        <r>
          <rPr>
            <sz val="8"/>
            <rFont val="Tahoma"/>
            <family val="0"/>
          </rPr>
          <t xml:space="preserve">
</t>
        </r>
      </text>
    </comment>
    <comment ref="A56" authorId="0">
      <text>
        <r>
          <rPr>
            <b/>
            <sz val="8"/>
            <rFont val="Tahoma"/>
            <family val="0"/>
          </rPr>
          <t>Adetti per TWh di energia prodotta.</t>
        </r>
        <r>
          <rPr>
            <sz val="8"/>
            <rFont val="Tahoma"/>
            <family val="0"/>
          </rPr>
          <t xml:space="preserve">
</t>
        </r>
      </text>
    </comment>
    <comment ref="D56" authorId="0">
      <text>
        <r>
          <rPr>
            <b/>
            <sz val="8"/>
            <rFont val="Tahoma"/>
            <family val="0"/>
          </rPr>
          <t>Secondo il Ciemat (Centro per lo studio delle tecnologie, l'ambiente e l'energia),  del Ministero dell'educazione e della Scienza Spagnolo , circa 100 posti di lavoro sono necessari per produrre un TWh da fonte nucleare.
Fonte:
http://itabia.ing.univaq.it/Itabia_docs/PDF/LA%20POSIZIONE%20DI%20ITABIA.PDF (pag 6)</t>
        </r>
        <r>
          <rPr>
            <sz val="8"/>
            <rFont val="Tahoma"/>
            <family val="0"/>
          </rPr>
          <t xml:space="preserve">
</t>
        </r>
      </text>
    </comment>
    <comment ref="E56" authorId="0">
      <text>
        <r>
          <rPr>
            <b/>
            <sz val="8"/>
            <rFont val="Tahoma"/>
            <family val="0"/>
          </rPr>
          <t>Secondo il Centro per lo studio delle tecnologie, l'ambiente e l'energia  del Ministero dell'educazione e della Scienza Spagnolo (Ciemat), circa 115 posti di lavoro sono necessari per produrre un TWh con centrali a carbone.
Fonte:
http://itabia.ing.univaq.it/Itabia_docs/PDF/LA%20POSIZIONE%20DI%20ITABIA.PDF 
(pag 6)</t>
        </r>
        <r>
          <rPr>
            <sz val="8"/>
            <rFont val="Tahoma"/>
            <family val="0"/>
          </rPr>
          <t xml:space="preserve">
</t>
        </r>
      </text>
    </comment>
    <comment ref="M56" authorId="0">
      <text>
        <r>
          <rPr>
            <b/>
            <sz val="8"/>
            <rFont val="Tahoma"/>
            <family val="0"/>
          </rPr>
          <t>Secondo il Centro per lo studio delle tecnologie, l'ambiente e l'energia  del Ministero dell'educazione e della Scienza Spagnolo (Ciemat), circa 1.700 posti di lavoro sono necessari per produrre un TWh da biomasse.
Fonte:
http://itabia.ing.univaq.it/Itabia_docs/PDF/LA%20POSIZIONE%20DI%20ITABIA.PDF 
(pag 6)</t>
        </r>
        <r>
          <rPr>
            <sz val="8"/>
            <rFont val="Tahoma"/>
            <family val="0"/>
          </rPr>
          <t xml:space="preserve">
</t>
        </r>
      </text>
    </comment>
    <comment ref="H57" authorId="0">
      <text>
        <r>
          <rPr>
            <b/>
            <sz val="8"/>
            <rFont val="Tahoma"/>
            <family val="0"/>
          </rPr>
          <t>Dato utilizzato per il calcolo dei benefici occupazionali derivanti dal FV</t>
        </r>
        <r>
          <rPr>
            <sz val="8"/>
            <rFont val="Tahoma"/>
            <family val="0"/>
          </rPr>
          <t xml:space="preserve">
</t>
        </r>
      </text>
    </comment>
    <comment ref="A61" authorId="0">
      <text>
        <r>
          <rPr>
            <b/>
            <sz val="8"/>
            <rFont val="Tahoma"/>
            <family val="0"/>
          </rPr>
          <t>Adetti per 100 MW di potenza installata</t>
        </r>
        <r>
          <rPr>
            <sz val="8"/>
            <rFont val="Tahoma"/>
            <family val="0"/>
          </rPr>
          <t xml:space="preserve">
</t>
        </r>
      </text>
    </comment>
    <comment ref="H61" authorId="0">
      <text>
        <r>
          <rPr>
            <b/>
            <sz val="8"/>
            <rFont val="Tahoma"/>
            <family val="0"/>
          </rPr>
          <t>Fonte:
www.uce-uu.nl/REW%2003-1%20Lysen.pdf  (pag.6)</t>
        </r>
        <r>
          <rPr>
            <sz val="8"/>
            <rFont val="Tahoma"/>
            <family val="0"/>
          </rPr>
          <t xml:space="preserve">
</t>
        </r>
      </text>
    </comment>
    <comment ref="A66" authorId="0">
      <text>
        <r>
          <rPr>
            <b/>
            <sz val="8"/>
            <rFont val="Tahoma"/>
            <family val="0"/>
          </rPr>
          <t>Posti di lavoro per 100 milioni di euro investiti</t>
        </r>
        <r>
          <rPr>
            <sz val="8"/>
            <rFont val="Tahoma"/>
            <family val="0"/>
          </rPr>
          <t xml:space="preserve">
 </t>
        </r>
      </text>
    </comment>
    <comment ref="F66" authorId="0">
      <text>
        <r>
          <rPr>
            <b/>
            <sz val="8"/>
            <rFont val="Tahoma"/>
            <family val="0"/>
          </rPr>
          <t>Fonte:
www.uce-uu.nl/REW%2003-1%20Lysen.pdf (pag. 6)</t>
        </r>
        <r>
          <rPr>
            <sz val="8"/>
            <rFont val="Tahoma"/>
            <family val="0"/>
          </rPr>
          <t xml:space="preserve">
</t>
        </r>
      </text>
    </comment>
    <comment ref="G66" authorId="0">
      <text>
        <r>
          <rPr>
            <b/>
            <sz val="8"/>
            <rFont val="Tahoma"/>
            <family val="0"/>
          </rPr>
          <t xml:space="preserve">Fonte:
www.uce-uu.nl/REW%2003-1%20Lysen.pdf (pag. 6)
</t>
        </r>
        <r>
          <rPr>
            <sz val="8"/>
            <rFont val="Tahoma"/>
            <family val="0"/>
          </rPr>
          <t xml:space="preserve">
</t>
        </r>
      </text>
    </comment>
    <comment ref="H66" authorId="0">
      <text>
        <r>
          <rPr>
            <b/>
            <sz val="8"/>
            <rFont val="Tahoma"/>
            <family val="0"/>
          </rPr>
          <t>Fonte: 
www.aspoitalia.net/documenti/libero/finlandiaitalia.html
www.uce-uu.nl/REW%2003-1%20Lysen.pdf  (pag. 6)</t>
        </r>
        <r>
          <rPr>
            <sz val="8"/>
            <rFont val="Tahoma"/>
            <family val="0"/>
          </rPr>
          <t xml:space="preserve">
</t>
        </r>
      </text>
    </comment>
    <comment ref="A68" authorId="0">
      <text>
        <r>
          <rPr>
            <b/>
            <sz val="8"/>
            <rFont val="Tahoma"/>
            <family val="0"/>
          </rPr>
          <t>Sulla base di un ritorno fiscale all'erario di 12.000 € all'anno per occupato</t>
        </r>
        <r>
          <rPr>
            <sz val="8"/>
            <rFont val="Tahoma"/>
            <family val="0"/>
          </rPr>
          <t xml:space="preserve">
</t>
        </r>
      </text>
    </comment>
    <comment ref="A71" authorId="0">
      <text>
        <r>
          <rPr>
            <b/>
            <sz val="8"/>
            <rFont val="Tahoma"/>
            <family val="0"/>
          </rPr>
          <t>Dati non ancora elaborati</t>
        </r>
        <r>
          <rPr>
            <sz val="8"/>
            <rFont val="Tahoma"/>
            <family val="0"/>
          </rPr>
          <t xml:space="preserve">
</t>
        </r>
      </text>
    </comment>
    <comment ref="A91" authorId="0">
      <text>
        <r>
          <rPr>
            <b/>
            <sz val="8"/>
            <rFont val="Tahoma"/>
            <family val="0"/>
          </rPr>
          <t>Il costo totale di un kWh di energia elettrica è composto dal costo di generazione più i costi esterni e al netto dei benefici indotti.</t>
        </r>
      </text>
    </comment>
    <comment ref="D91" authorId="0">
      <text>
        <r>
          <rPr>
            <b/>
            <sz val="8"/>
            <rFont val="Tahoma"/>
            <family val="0"/>
          </rPr>
          <t>Secondo il M.I.T. il costo totale del kWh nucleare è di 67 millesimi di dollaro
web.mit.edu/nuclearpower</t>
        </r>
        <r>
          <rPr>
            <sz val="8"/>
            <rFont val="Tahoma"/>
            <family val="0"/>
          </rPr>
          <t xml:space="preserve">
</t>
        </r>
      </text>
    </comment>
    <comment ref="A93" authorId="0">
      <text>
        <r>
          <rPr>
            <b/>
            <sz val="8"/>
            <rFont val="Tahoma"/>
            <family val="2"/>
          </rPr>
          <t xml:space="preserve">Questo Pay-back time indica il tempo (in anni)  necessario per rientrare dell'investimento effetuato per l'installazione dell'impianto di generazione, il prezzo base  di vendita dell'energia prodotta adottato per il calcolo è di 0,06 €/kWh
www.mercatoelettrico.org/GmewebItaliano/MenuBiblioteca/Documenti/20050408MgpReportGiornaliero.pdf </t>
        </r>
      </text>
    </comment>
    <comment ref="F93" authorId="0">
      <text>
        <r>
          <rPr>
            <b/>
            <sz val="8"/>
            <rFont val="Tahoma"/>
            <family val="0"/>
          </rPr>
          <t>sono necessari 0,051 € di olio combustibile per produrre un kWh, per cui, includendo i costi di gestione, le centrali ad olio combustibile non sono in grado di ripagare i costi d'impianto.</t>
        </r>
        <r>
          <rPr>
            <sz val="8"/>
            <rFont val="Tahoma"/>
            <family val="0"/>
          </rPr>
          <t xml:space="preserve">
</t>
        </r>
      </text>
    </comment>
    <comment ref="H93" authorId="0">
      <text>
        <r>
          <rPr>
            <b/>
            <sz val="8"/>
            <rFont val="Tahoma"/>
            <family val="0"/>
          </rPr>
          <t>Per gli impianti FV si deve considerare non il prezzo medio di mercato ma il costo che l'installazione del sistema permette di sostituire (circa 0,2 €/kWh)</t>
        </r>
        <r>
          <rPr>
            <sz val="8"/>
            <rFont val="Tahoma"/>
            <family val="0"/>
          </rPr>
          <t xml:space="preserve">
</t>
        </r>
      </text>
    </comment>
    <comment ref="J93" authorId="0">
      <text>
        <r>
          <rPr>
            <b/>
            <sz val="8"/>
            <rFont val="Tahoma"/>
            <family val="0"/>
          </rPr>
          <t xml:space="preserve">Data la proprietà di accumulo energetico dei sistemi idroelettrici il valore di mercato medio del kWh prodotto è di 0,08 € </t>
        </r>
        <r>
          <rPr>
            <sz val="8"/>
            <rFont val="Tahoma"/>
            <family val="0"/>
          </rPr>
          <t xml:space="preserve">
</t>
        </r>
      </text>
    </comment>
    <comment ref="L93" authorId="0">
      <text>
        <r>
          <rPr>
            <b/>
            <sz val="8"/>
            <rFont val="Tahoma"/>
            <family val="0"/>
          </rPr>
          <t>La produzione dei sistemi eliotermici avviene nelle ore di punta, con un valore medio di 0,08 € kWh</t>
        </r>
        <r>
          <rPr>
            <sz val="8"/>
            <rFont val="Tahoma"/>
            <family val="0"/>
          </rPr>
          <t xml:space="preserve">
</t>
        </r>
      </text>
    </comment>
    <comment ref="A95" authorId="0">
      <text>
        <r>
          <rPr>
            <b/>
            <sz val="8"/>
            <rFont val="Tahoma"/>
            <family val="2"/>
          </rPr>
          <t xml:space="preserve">Questo Pay-back time indica il tempo (in anni)  necessario per rientrare di tutti i costi, internalizzando anche i costi esterni. Il prezzo base  di vendita dell'energia prodotta adottato per il calcolo è di 0,06 €/kWh
www.mercatoelettrico.org/GmewebItaliano/MenuBiblioteca/Documenti/20050408MgpReportGiornaliero.pdf </t>
        </r>
      </text>
    </comment>
    <comment ref="H95" authorId="0">
      <text>
        <r>
          <rPr>
            <b/>
            <sz val="8"/>
            <rFont val="Tahoma"/>
            <family val="0"/>
          </rPr>
          <t>Per gli impianti FV si deve considerare non il prezzo medio di mercato ma il costo che l'installazione del sistema permette di sostituire (circa 0,2 €/kWh)</t>
        </r>
        <r>
          <rPr>
            <sz val="8"/>
            <rFont val="Tahoma"/>
            <family val="0"/>
          </rPr>
          <t xml:space="preserve">
</t>
        </r>
      </text>
    </comment>
    <comment ref="J95" authorId="0">
      <text>
        <r>
          <rPr>
            <b/>
            <sz val="8"/>
            <rFont val="Tahoma"/>
            <family val="0"/>
          </rPr>
          <t>Data la proprietà di accumulo energetico dei sistemi idroelettrici il valore di mercato medio del kWh prodotto è di 0,08</t>
        </r>
        <r>
          <rPr>
            <sz val="8"/>
            <rFont val="Tahoma"/>
            <family val="0"/>
          </rPr>
          <t xml:space="preserve">
</t>
        </r>
      </text>
    </comment>
    <comment ref="L95" authorId="0">
      <text>
        <r>
          <rPr>
            <b/>
            <sz val="8"/>
            <rFont val="Tahoma"/>
            <family val="0"/>
          </rPr>
          <t>La produzione dei sistemi eliotermici avviene nelle ore di punta, con un valore medio di 0,08 € kWh</t>
        </r>
        <r>
          <rPr>
            <sz val="8"/>
            <rFont val="Tahoma"/>
            <family val="0"/>
          </rPr>
          <t xml:space="preserve">
</t>
        </r>
      </text>
    </comment>
    <comment ref="A105" authorId="0">
      <text>
        <r>
          <rPr>
            <b/>
            <sz val="8"/>
            <rFont val="Tahoma"/>
            <family val="0"/>
          </rPr>
          <t>L' EROEI (Energy Return On Energy Investment) indica i kWh ottunuti ogni kWh speso per la realizzazione dei componenti dell'impianto, per l'impianto e per la gestione dell'impianto, (escluso il potere energetico della fonte utilizzata in fase di generazione)
Fonte:
www.aspoitalia.net/documenti/bardi/eroei/eroei.html</t>
        </r>
        <r>
          <rPr>
            <sz val="8"/>
            <rFont val="Tahoma"/>
            <family val="0"/>
          </rPr>
          <t xml:space="preserve">
</t>
        </r>
        <r>
          <rPr>
            <b/>
            <sz val="8"/>
            <rFont val="Tahoma"/>
            <family val="2"/>
          </rPr>
          <t>Approfondimenti:
http://www.energoclub.it/doceboCms/page/457/EROEI.html</t>
        </r>
      </text>
    </comment>
    <comment ref="H105" authorId="0">
      <text>
        <r>
          <rPr>
            <b/>
            <sz val="8"/>
            <rFont val="Tahoma"/>
            <family val="0"/>
          </rPr>
          <t xml:space="preserve">
Secondo lo studio “La tecnologia fotovoltaica: stato dell’arte e potenzialità d’impiego nei processi produttivi”, promosso da AREA Science Park di Trieste nell’ambito di Progetto Novimpresa, l'energy pay-back del FV  è sceso drasticamente negli ultimi anni ed è pari attualmente a circa 3 anni.
Fonte: www.area.trieste.it/html/press/magazine/31/31_4.htm
</t>
        </r>
        <r>
          <rPr>
            <sz val="8"/>
            <rFont val="Tahoma"/>
            <family val="0"/>
          </rPr>
          <t xml:space="preserve">
</t>
        </r>
      </text>
    </comment>
    <comment ref="A107" authorId="0">
      <text>
        <r>
          <rPr>
            <b/>
            <sz val="8"/>
            <rFont val="Tahoma"/>
            <family val="0"/>
          </rPr>
          <t>L' EROGEI (Energy Return On Global Energy Consumed) indica i kWh ottunuti ogni kWh consumato, viene calcolato considerando la quantità di energia che costituisce l'EROEI più il contenuto energetico delle fonti primarie consumate in fase di generazione qualora la fonte energetica sia un combustibile o una sostanza che in alternativa possa rimanere potenzialmente tale o altrimenti utilizzabile.
Approfondimento:
http://www.energoclub.it/doceboCms/page/457/EROEI.html</t>
        </r>
      </text>
    </comment>
    <comment ref="D107" authorId="0">
      <text>
        <r>
          <rPr>
            <b/>
            <sz val="8"/>
            <rFont val="Tahoma"/>
            <family val="0"/>
          </rPr>
          <t xml:space="preserve">I materiali fissili sono gli unici ad avere un potenziale ad altissima densità  energetica, questa rara caratteristica li rende particolarmente preziosi e dovrebbe suggerire di conservarli  per le esigenze  dove tale qualità risulti indispensabile. </t>
        </r>
        <r>
          <rPr>
            <sz val="8"/>
            <rFont val="Tahoma"/>
            <family val="0"/>
          </rPr>
          <t xml:space="preserve">
</t>
        </r>
      </text>
    </comment>
    <comment ref="E107" authorId="0">
      <text>
        <r>
          <rPr>
            <b/>
            <sz val="8"/>
            <rFont val="Tahoma"/>
            <family val="0"/>
          </rPr>
          <t>Il carbone è l'unica fonte di carbonio relativamente abbondante ed economica, il carbonio si sta rivelando sempre più una materia prima utile per le più diverse esigenze e tecnologie.</t>
        </r>
        <r>
          <rPr>
            <sz val="8"/>
            <rFont val="Tahoma"/>
            <family val="0"/>
          </rPr>
          <t xml:space="preserve">
</t>
        </r>
      </text>
    </comment>
    <comment ref="F107" authorId="0">
      <text>
        <r>
          <rPr>
            <b/>
            <sz val="8"/>
            <rFont val="Tahoma"/>
            <family val="0"/>
          </rPr>
          <t>Il petrolio è da decenni una materia prima utile per la produzione di innumerevoli beni di consumo,  il sistema più stupido per utilizzarlo è quello di bruciarlo per produrre qualcosa che può essere in altri modi prodotto, come l'energia elettrica.
Alla lunga (o tra poco), risulterà evidente l'anti-economicità di tale pratica</t>
        </r>
        <r>
          <rPr>
            <sz val="8"/>
            <rFont val="Tahoma"/>
            <family val="0"/>
          </rPr>
          <t xml:space="preserve">
</t>
        </r>
      </text>
    </comment>
    <comment ref="G107" authorId="0">
      <text>
        <r>
          <rPr>
            <b/>
            <sz val="8"/>
            <rFont val="Tahoma"/>
            <family val="0"/>
          </rPr>
          <t>Per il gas naturale si possono fare le stesse considerazioni fatte per il petrolio, sono entrambi degli idrocarburi, gli unici a nostra disposizione, il maggiore pregio del gas naturale nella generazione di energia  rispetto alle altre fonti esauribili è il migliore bilancio energetico nell'utilizzo e il minore impatto ambientale rispetto al carbone e al petrolio.</t>
        </r>
      </text>
    </comment>
    <comment ref="H107" authorId="0">
      <text>
        <r>
          <rPr>
            <b/>
            <sz val="8"/>
            <rFont val="Tahoma"/>
            <family val="0"/>
          </rPr>
          <t>Se l'energia solare non viene trasformata in energia utilizzabile viene riflessa e dissipata nello spazio, quindi non imputabile nel bilancio energetico.</t>
        </r>
        <r>
          <rPr>
            <sz val="8"/>
            <rFont val="Tahoma"/>
            <family val="0"/>
          </rPr>
          <t xml:space="preserve">
</t>
        </r>
      </text>
    </comment>
    <comment ref="I107" authorId="0">
      <text>
        <r>
          <rPr>
            <b/>
            <sz val="8"/>
            <rFont val="Tahoma"/>
            <family val="0"/>
          </rPr>
          <t>Se l'energia cinetica del vento non viene trasformata in energia utilizzabile viene dissipata nell' ambiente, quindi non imputabile nel bilancio energetico..</t>
        </r>
        <r>
          <rPr>
            <sz val="8"/>
            <rFont val="Tahoma"/>
            <family val="0"/>
          </rPr>
          <t xml:space="preserve">
</t>
        </r>
      </text>
    </comment>
    <comment ref="J107" authorId="0">
      <text>
        <r>
          <rPr>
            <b/>
            <sz val="8"/>
            <rFont val="Tahoma"/>
            <family val="0"/>
          </rPr>
          <t>Se l'energia cinetica delle masse d'acqua non viene trasformata in energia utilizzabile viene dissipata nell' ambiente, quindi non imputabile nel bilancio energetico.</t>
        </r>
        <r>
          <rPr>
            <sz val="8"/>
            <rFont val="Tahoma"/>
            <family val="0"/>
          </rPr>
          <t xml:space="preserve">
</t>
        </r>
      </text>
    </comment>
    <comment ref="K107" authorId="0">
      <text>
        <r>
          <rPr>
            <b/>
            <sz val="8"/>
            <rFont val="Tahoma"/>
            <family val="0"/>
          </rPr>
          <t>Il calore degli acquiferi geotermici può essere utile solo se trasformato in energia elettrica o utilizzato tale e quale come energia termica, non può essere convertito direttamente in beni di consumo o carburanti come i combustibili fossili e non ha un potenziale di altissima densità energetica come i materiali fissili</t>
        </r>
        <r>
          <rPr>
            <sz val="8"/>
            <rFont val="Tahoma"/>
            <family val="0"/>
          </rPr>
          <t xml:space="preserve">
</t>
        </r>
      </text>
    </comment>
    <comment ref="L107" authorId="0">
      <text>
        <r>
          <rPr>
            <b/>
            <sz val="8"/>
            <rFont val="Tahoma"/>
            <family val="0"/>
          </rPr>
          <t>Se l'energia solare non viene trasformata in energia utilizzabile viene riflessa e dissipata nello spazio,  quindi non imputabile nel bilancio energetico.</t>
        </r>
        <r>
          <rPr>
            <sz val="8"/>
            <rFont val="Tahoma"/>
            <family val="0"/>
          </rPr>
          <t xml:space="preserve">
</t>
        </r>
      </text>
    </comment>
    <comment ref="A109" authorId="0">
      <text>
        <r>
          <rPr>
            <b/>
            <sz val="8"/>
            <rFont val="Tahoma"/>
            <family val="0"/>
          </rPr>
          <t>Questo Pay-back time indica il tempo (in anni)  necessario al sistema per produrre la stessa quantità di energia utilizzata per realizzare i componenti dell'impianto,  l'impianto e per la gestione dell'impianto, (escluso quindi il potere energetico della fonte utilizzata in fase di generazione)</t>
        </r>
        <r>
          <rPr>
            <sz val="8"/>
            <rFont val="Tahoma"/>
            <family val="0"/>
          </rPr>
          <t xml:space="preserve">
</t>
        </r>
      </text>
    </comment>
    <comment ref="A111" authorId="0">
      <text>
        <r>
          <rPr>
            <b/>
            <sz val="8"/>
            <rFont val="Tahoma"/>
            <family val="2"/>
          </rPr>
          <t>Questo Pay-back time indica il tempo (in anni)  necessario al sistema per produrre la stessa quantità di energia utilizzata per:  realizzare i componenti dell'impianto,  per l'impianto, per la gestione dell'impianto e l'energia contenuta  nelle fonti primarie consumate in fase di generazione qualora la fonte energetica sia un combustibile o una sostanza che in alternativa possa rimanere potenzialmente tale o altrimenti utilizzabile.
L'impossibilità di Pay-back time energetico indica una fonte esauribile, per le fonti rinnovabili il tempo di rimborso energetico corrisponde, in sostanza, all'energy pay-back basato sull' EROEI.</t>
        </r>
      </text>
    </comment>
  </commentList>
</comments>
</file>

<file path=xl/sharedStrings.xml><?xml version="1.0" encoding="utf-8"?>
<sst xmlns="http://schemas.openxmlformats.org/spreadsheetml/2006/main" count="148" uniqueCount="89">
  <si>
    <t>COSTI DI GENERAZIONE</t>
  </si>
  <si>
    <t>Costo potenziale futuro</t>
  </si>
  <si>
    <t>NUCLEARE</t>
  </si>
  <si>
    <t>CARBONE</t>
  </si>
  <si>
    <t>PETROLIO</t>
  </si>
  <si>
    <t>GAS C.C.</t>
  </si>
  <si>
    <t>FOTOVOLT</t>
  </si>
  <si>
    <t>EOLICO</t>
  </si>
  <si>
    <t>IDROELETTRICO</t>
  </si>
  <si>
    <t>GEOTERMICO</t>
  </si>
  <si>
    <t>ELIOTERMICO</t>
  </si>
  <si>
    <t>BIOENERGIA</t>
  </si>
  <si>
    <t>Costo capitale</t>
  </si>
  <si>
    <t>T</t>
  </si>
  <si>
    <t xml:space="preserve">€/kW </t>
  </si>
  <si>
    <t>indice utilizzo</t>
  </si>
  <si>
    <t>kWh/anno</t>
  </si>
  <si>
    <t>Costi finanziari 5% (30 anni)</t>
  </si>
  <si>
    <t>1° anno (di 30, 5%)     m€/kWh</t>
  </si>
  <si>
    <t>intermedio (di 30, 5%) m€/kWh</t>
  </si>
  <si>
    <t>ultimo anno (di 30, 5%) m€/kWh</t>
  </si>
  <si>
    <t>Combustibile</t>
  </si>
  <si>
    <t xml:space="preserve">€/kg; €/m3 </t>
  </si>
  <si>
    <r>
      <t>(UO</t>
    </r>
    <r>
      <rPr>
        <b/>
        <vertAlign val="subscript"/>
        <sz val="8"/>
        <rFont val="Arial"/>
        <family val="2"/>
      </rPr>
      <t xml:space="preserve">2 </t>
    </r>
    <r>
      <rPr>
        <b/>
        <vertAlign val="superscript"/>
        <sz val="8"/>
        <rFont val="Arial"/>
        <family val="2"/>
      </rPr>
      <t>3.5%</t>
    </r>
    <r>
      <rPr>
        <b/>
        <sz val="8"/>
        <rFont val="Arial"/>
        <family val="2"/>
      </rPr>
      <t>)</t>
    </r>
  </si>
  <si>
    <t>kWht/kg ; kWht/m3</t>
  </si>
  <si>
    <r>
      <t>(UO</t>
    </r>
    <r>
      <rPr>
        <vertAlign val="subscript"/>
        <sz val="8"/>
        <rFont val="Arial"/>
        <family val="2"/>
      </rPr>
      <t>2</t>
    </r>
    <r>
      <rPr>
        <sz val="8"/>
        <rFont val="Arial"/>
        <family val="2"/>
      </rPr>
      <t xml:space="preserve"> </t>
    </r>
    <r>
      <rPr>
        <vertAlign val="superscript"/>
        <sz val="8"/>
        <rFont val="Arial"/>
        <family val="2"/>
      </rPr>
      <t>3.5%</t>
    </r>
    <r>
      <rPr>
        <sz val="8"/>
        <rFont val="Arial"/>
        <family val="2"/>
      </rPr>
      <t>)</t>
    </r>
  </si>
  <si>
    <t>€/kWht</t>
  </si>
  <si>
    <t>efficienza</t>
  </si>
  <si>
    <t>m€/kWhe</t>
  </si>
  <si>
    <t>Gestione  &amp; Manut. m€/kWh</t>
  </si>
  <si>
    <t>TOTALE</t>
  </si>
  <si>
    <t>costo m€/kWh  1° anno</t>
  </si>
  <si>
    <t xml:space="preserve">Costo di G. medio  m€/kWh </t>
  </si>
  <si>
    <t>costo m€/kWh dopo ammortam.</t>
  </si>
  <si>
    <t>Media esauribili</t>
  </si>
  <si>
    <t>Media rinnovabili (tranne fotovoltaico)</t>
  </si>
  <si>
    <t>COSTI ESTERNI</t>
  </si>
  <si>
    <t>NUCL</t>
  </si>
  <si>
    <t>CARB</t>
  </si>
  <si>
    <t>OLIO</t>
  </si>
  <si>
    <t>GAS CC</t>
  </si>
  <si>
    <t>FOTOV</t>
  </si>
  <si>
    <t>IDRO</t>
  </si>
  <si>
    <t>GEOTER</t>
  </si>
  <si>
    <t>ELIOTER</t>
  </si>
  <si>
    <t>BIOENER</t>
  </si>
  <si>
    <t>Impianti di generazione</t>
  </si>
  <si>
    <t>Produzione del combustibile</t>
  </si>
  <si>
    <t>Emissioni in atmosfera</t>
  </si>
  <si>
    <t xml:space="preserve">Dismissione impianti </t>
  </si>
  <si>
    <t xml:space="preserve">Altri </t>
  </si>
  <si>
    <t>Totale m€/kWh</t>
  </si>
  <si>
    <t>BENEFICI INDOTTI</t>
  </si>
  <si>
    <t>Occupazione</t>
  </si>
  <si>
    <t xml:space="preserve"> </t>
  </si>
  <si>
    <t>Posti/TWh</t>
  </si>
  <si>
    <t>Posti/100MW</t>
  </si>
  <si>
    <t>Posti/100M€</t>
  </si>
  <si>
    <t>Benefici fiscali m€/kWh</t>
  </si>
  <si>
    <t>Ambiente</t>
  </si>
  <si>
    <t>Altri</t>
  </si>
  <si>
    <t>Totale benefici indotti m€/kWh</t>
  </si>
  <si>
    <t>RIEPILOGO COSTI ECONOMICI</t>
  </si>
  <si>
    <t xml:space="preserve">Costi di Generazione  m€/kWh </t>
  </si>
  <si>
    <t>Costi Esterni m€/kWh</t>
  </si>
  <si>
    <t>Benefici Indotti m€/kWh</t>
  </si>
  <si>
    <t xml:space="preserve">COSTO TOTALE m€/kWh </t>
  </si>
  <si>
    <t>PAY-BACK TIME (c. impianti)</t>
  </si>
  <si>
    <t>PAY-BACK TIME (c. totali)</t>
  </si>
  <si>
    <t>RIEPILOGO COSTI ENERGETICI</t>
  </si>
  <si>
    <t>E.R.O.E.I.</t>
  </si>
  <si>
    <t>E.R.O.G.E.I.</t>
  </si>
  <si>
    <t>Energy Pay-back time 
(EROEI)</t>
  </si>
  <si>
    <t>Energy Pay-back time
(EROGEI)</t>
  </si>
  <si>
    <t>No</t>
  </si>
  <si>
    <t>Costo attuale 
€/MWh</t>
  </si>
  <si>
    <t>Costo potenziale
€/MWh</t>
  </si>
  <si>
    <t>-</t>
  </si>
  <si>
    <t>Costi esterni  €/MWh</t>
  </si>
  <si>
    <t>Nucleare</t>
  </si>
  <si>
    <t>Carbone</t>
  </si>
  <si>
    <t>Petrolio</t>
  </si>
  <si>
    <t>Metano</t>
  </si>
  <si>
    <t>Fotovoltaico</t>
  </si>
  <si>
    <t>Eolico</t>
  </si>
  <si>
    <t>Geotermico</t>
  </si>
  <si>
    <t>Eliotermico</t>
  </si>
  <si>
    <t>Biomasse</t>
  </si>
  <si>
    <t>Idroelettrico</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</si>
</sst>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 numFmtId="165" formatCode="_-* #,##0_-;\-* #,##0_-;_-* &quot;-&quot;??_-;_-@_-"/>
    <numFmt numFmtId="166" formatCode="0.000E+00"/>
    <numFmt numFmtId="167" formatCode="0.0"/>
    <numFmt numFmtId="168" formatCode="#,##0.000"/>
    <numFmt numFmtId="169" formatCode="&quot;€&quot;\ #,##0.000;\-&quot;€&quot;\ #,##0.000"/>
  </numFmts>
  <fonts count="70">
    <font>
      <sz val="11"/>
      <color theme="1"/>
      <name val="Calibri"/>
      <family val="2"/>
    </font>
    <font>
      <sz val="11"/>
      <color indexed="8"/>
      <name val="Calibri"/>
      <family val="2"/>
    </font>
    <font>
      <sz val="10"/>
      <name val="Arial"/>
      <family val="0"/>
    </font>
    <font>
      <vertAlign val="subscript"/>
      <sz val="8"/>
      <name val="Arial"/>
      <family val="2"/>
    </font>
    <font>
      <sz val="8"/>
      <name val="Arial"/>
      <family val="2"/>
    </font>
    <font>
      <vertAlign val="superscript"/>
      <sz val="8"/>
      <name val="Arial"/>
      <family val="2"/>
    </font>
    <font>
      <b/>
      <u val="single"/>
      <sz val="10"/>
      <name val="Arial"/>
      <family val="2"/>
    </font>
    <font>
      <b/>
      <sz val="10"/>
      <name val="Arial"/>
      <family val="2"/>
    </font>
    <font>
      <b/>
      <sz val="8"/>
      <name val="Arial"/>
      <family val="2"/>
    </font>
    <font>
      <b/>
      <vertAlign val="subscript"/>
      <sz val="8"/>
      <name val="Arial"/>
      <family val="2"/>
    </font>
    <font>
      <b/>
      <vertAlign val="superscript"/>
      <sz val="8"/>
      <name val="Arial"/>
      <family val="2"/>
    </font>
    <font>
      <b/>
      <sz val="8"/>
      <name val="Tahoma"/>
      <family val="2"/>
    </font>
    <font>
      <u val="single"/>
      <sz val="10"/>
      <color indexed="12"/>
      <name val="Arial"/>
      <family val="2"/>
    </font>
    <font>
      <sz val="10"/>
      <color indexed="62"/>
      <name val="Arial"/>
      <family val="2"/>
    </font>
    <font>
      <b/>
      <sz val="10"/>
      <color indexed="12"/>
      <name val="Arial"/>
      <family val="2"/>
    </font>
    <font>
      <b/>
      <sz val="12"/>
      <color indexed="21"/>
      <name val="Arial"/>
      <family val="2"/>
    </font>
    <font>
      <b/>
      <sz val="10"/>
      <color indexed="21"/>
      <name val="Arial"/>
      <family val="2"/>
    </font>
    <font>
      <sz val="10"/>
      <color indexed="21"/>
      <name val="Arial"/>
      <family val="2"/>
    </font>
    <font>
      <b/>
      <sz val="12"/>
      <color indexed="16"/>
      <name val="Arial"/>
      <family val="2"/>
    </font>
    <font>
      <b/>
      <sz val="12"/>
      <color indexed="62"/>
      <name val="Arial"/>
      <family val="2"/>
    </font>
    <font>
      <b/>
      <sz val="10"/>
      <color indexed="62"/>
      <name val="Arial"/>
      <family val="2"/>
    </font>
    <font>
      <b/>
      <sz val="10"/>
      <color indexed="8"/>
      <name val="Arial"/>
      <family val="2"/>
    </font>
    <font>
      <sz val="10"/>
      <color indexed="8"/>
      <name val="Arial"/>
      <family val="2"/>
    </font>
    <font>
      <b/>
      <sz val="10"/>
      <color indexed="16"/>
      <name val="Arial"/>
      <family val="2"/>
    </font>
    <font>
      <b/>
      <sz val="12"/>
      <name val="Arial"/>
      <family val="2"/>
    </font>
    <font>
      <b/>
      <sz val="11"/>
      <name val="Arial"/>
      <family val="2"/>
    </font>
    <font>
      <sz val="11"/>
      <name val="Arial"/>
      <family val="2"/>
    </font>
    <font>
      <sz val="10"/>
      <color indexed="41"/>
      <name val="Arial"/>
      <family val="2"/>
    </font>
    <font>
      <sz val="10"/>
      <color indexed="16"/>
      <name val="Arial"/>
      <family val="2"/>
    </font>
    <font>
      <sz val="10"/>
      <color indexed="47"/>
      <name val="Arial"/>
      <family val="2"/>
    </font>
    <font>
      <sz val="12"/>
      <name val="Arial"/>
      <family val="2"/>
    </font>
    <font>
      <b/>
      <sz val="10"/>
      <color indexed="60"/>
      <name val="Arial"/>
      <family val="2"/>
    </font>
    <font>
      <sz val="8"/>
      <name val="Tahoma"/>
      <family val="0"/>
    </font>
    <font>
      <sz val="12"/>
      <name val="Calibri"/>
      <family val="2"/>
    </font>
    <font>
      <b/>
      <sz val="12"/>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0" borderId="2" applyNumberFormat="0" applyFill="0" applyAlignment="0" applyProtection="0"/>
    <xf numFmtId="0" fontId="55" fillId="21" borderId="3" applyNumberFormat="0" applyAlignment="0" applyProtection="0"/>
    <xf numFmtId="0" fontId="12"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57" fillId="29" borderId="0" applyNumberFormat="0" applyBorder="0" applyAlignment="0" applyProtection="0"/>
    <xf numFmtId="0" fontId="2" fillId="0" borderId="0">
      <alignment/>
      <protection/>
    </xf>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cellStyleXfs>
  <cellXfs count="136">
    <xf numFmtId="0" fontId="0" fillId="0" borderId="0" xfId="0" applyFont="1" applyAlignment="1">
      <alignment/>
    </xf>
    <xf numFmtId="165" fontId="20" fillId="0" borderId="0" xfId="46" applyNumberFormat="1" applyFont="1" applyAlignment="1">
      <alignment/>
    </xf>
    <xf numFmtId="165" fontId="20" fillId="0" borderId="0" xfId="46" applyNumberFormat="1" applyFont="1" applyBorder="1" applyAlignment="1">
      <alignment horizontal="left" indent="2"/>
    </xf>
    <xf numFmtId="165" fontId="20" fillId="0" borderId="0" xfId="46" applyNumberFormat="1" applyFont="1" applyAlignment="1">
      <alignment horizontal="right"/>
    </xf>
    <xf numFmtId="0" fontId="21" fillId="0" borderId="0" xfId="36" applyFont="1" applyAlignment="1" applyProtection="1">
      <alignment/>
      <protection/>
    </xf>
    <xf numFmtId="0" fontId="22" fillId="0" borderId="0" xfId="36" applyFont="1" applyAlignment="1" applyProtection="1">
      <alignment/>
      <protection/>
    </xf>
    <xf numFmtId="165" fontId="2" fillId="0" borderId="0" xfId="46" applyNumberFormat="1" applyFont="1" applyAlignment="1">
      <alignment/>
    </xf>
    <xf numFmtId="165" fontId="7" fillId="0" borderId="0" xfId="46" applyNumberFormat="1" applyFont="1" applyAlignment="1">
      <alignment/>
    </xf>
    <xf numFmtId="164" fontId="7" fillId="0" borderId="0" xfId="46" applyNumberFormat="1" applyFont="1" applyAlignment="1">
      <alignment/>
    </xf>
    <xf numFmtId="11" fontId="18" fillId="0" borderId="0" xfId="36" applyNumberFormat="1" applyFont="1" applyAlignment="1" applyProtection="1">
      <alignment/>
      <protection/>
    </xf>
    <xf numFmtId="165" fontId="16" fillId="0" borderId="0" xfId="46" applyNumberFormat="1" applyFont="1" applyAlignment="1">
      <alignment/>
    </xf>
    <xf numFmtId="164" fontId="16" fillId="0" borderId="0" xfId="46" applyNumberFormat="1" applyFont="1" applyAlignment="1">
      <alignment/>
    </xf>
    <xf numFmtId="165" fontId="16" fillId="0" borderId="0" xfId="46" applyNumberFormat="1" applyFont="1" applyAlignment="1">
      <alignment horizontal="center"/>
    </xf>
    <xf numFmtId="164" fontId="24" fillId="33" borderId="0" xfId="46" applyNumberFormat="1" applyFont="1" applyFill="1" applyAlignment="1">
      <alignment/>
    </xf>
    <xf numFmtId="43" fontId="24" fillId="33" borderId="0" xfId="46" applyFont="1" applyFill="1" applyAlignment="1">
      <alignment/>
    </xf>
    <xf numFmtId="165" fontId="7" fillId="0" borderId="0" xfId="36" applyNumberFormat="1" applyFont="1" applyAlignment="1" applyProtection="1">
      <alignment/>
      <protection/>
    </xf>
    <xf numFmtId="0" fontId="7" fillId="0" borderId="0" xfId="36" applyFont="1" applyAlignment="1" applyProtection="1">
      <alignment/>
      <protection/>
    </xf>
    <xf numFmtId="1" fontId="7" fillId="0" borderId="0" xfId="36" applyNumberFormat="1" applyFont="1" applyAlignment="1" applyProtection="1">
      <alignment/>
      <protection/>
    </xf>
    <xf numFmtId="167" fontId="25" fillId="33" borderId="0" xfId="36" applyNumberFormat="1" applyFont="1" applyFill="1" applyAlignment="1" applyProtection="1">
      <alignment/>
      <protection/>
    </xf>
    <xf numFmtId="0" fontId="24" fillId="33" borderId="0" xfId="36" applyFont="1" applyFill="1" applyAlignment="1" applyProtection="1">
      <alignment/>
      <protection/>
    </xf>
    <xf numFmtId="0" fontId="25" fillId="33" borderId="0" xfId="36" applyFont="1" applyFill="1" applyAlignment="1" applyProtection="1">
      <alignment/>
      <protection/>
    </xf>
    <xf numFmtId="164" fontId="25" fillId="33" borderId="0" xfId="46" applyNumberFormat="1" applyFont="1" applyFill="1" applyAlignment="1">
      <alignment/>
    </xf>
    <xf numFmtId="167" fontId="24" fillId="33" borderId="0" xfId="36" applyNumberFormat="1" applyFont="1" applyFill="1" applyAlignment="1" applyProtection="1">
      <alignment/>
      <protection/>
    </xf>
    <xf numFmtId="1" fontId="31" fillId="0" borderId="0" xfId="36" applyNumberFormat="1" applyFont="1" applyAlignment="1" applyProtection="1">
      <alignment/>
      <protection/>
    </xf>
    <xf numFmtId="3" fontId="7" fillId="0" borderId="0" xfId="46" applyNumberFormat="1" applyFont="1" applyAlignment="1">
      <alignment horizontal="center"/>
    </xf>
    <xf numFmtId="4" fontId="7" fillId="0" borderId="0" xfId="46" applyNumberFormat="1" applyFont="1" applyAlignment="1">
      <alignment horizontal="center"/>
    </xf>
    <xf numFmtId="9" fontId="7" fillId="0" borderId="0" xfId="52" applyFont="1" applyAlignment="1">
      <alignment horizontal="center"/>
    </xf>
    <xf numFmtId="167" fontId="20" fillId="0" borderId="0" xfId="46" applyNumberFormat="1" applyFont="1" applyAlignment="1">
      <alignment horizontal="center"/>
    </xf>
    <xf numFmtId="167" fontId="20" fillId="0" borderId="0" xfId="46" applyNumberFormat="1" applyFont="1" applyBorder="1" applyAlignment="1">
      <alignment horizontal="center"/>
    </xf>
    <xf numFmtId="9" fontId="0" fillId="0" borderId="0" xfId="0" applyNumberFormat="1" applyAlignment="1">
      <alignment/>
    </xf>
    <xf numFmtId="11" fontId="0" fillId="0" borderId="0" xfId="0" applyNumberFormat="1" applyAlignment="1">
      <alignment/>
    </xf>
    <xf numFmtId="1" fontId="0" fillId="0" borderId="0" xfId="0" applyNumberFormat="1" applyAlignment="1">
      <alignment/>
    </xf>
    <xf numFmtId="166" fontId="0" fillId="0" borderId="0" xfId="0" applyNumberFormat="1" applyAlignment="1">
      <alignment/>
    </xf>
    <xf numFmtId="0" fontId="0" fillId="0" borderId="0" xfId="0" applyAlignment="1">
      <alignment horizontal="left"/>
    </xf>
    <xf numFmtId="0" fontId="19" fillId="0" borderId="0" xfId="0" applyFont="1" applyAlignment="1">
      <alignment/>
    </xf>
    <xf numFmtId="0" fontId="13" fillId="0" borderId="0" xfId="0" applyFont="1" applyAlignment="1">
      <alignment/>
    </xf>
    <xf numFmtId="0" fontId="27" fillId="34" borderId="0" xfId="0" applyFont="1" applyFill="1" applyAlignment="1">
      <alignment/>
    </xf>
    <xf numFmtId="0" fontId="27" fillId="34" borderId="0" xfId="0" applyFont="1" applyFill="1" applyAlignment="1">
      <alignment horizontal="left"/>
    </xf>
    <xf numFmtId="0" fontId="0" fillId="0" borderId="0" xfId="0" applyAlignment="1">
      <alignment horizontal="center"/>
    </xf>
    <xf numFmtId="0" fontId="2" fillId="0" borderId="0" xfId="0" applyFont="1" applyAlignment="1">
      <alignment/>
    </xf>
    <xf numFmtId="0" fontId="6" fillId="0" borderId="0" xfId="0" applyFont="1" applyAlignment="1">
      <alignment horizontal="center"/>
    </xf>
    <xf numFmtId="0" fontId="6" fillId="0" borderId="0" xfId="0" applyFont="1" applyAlignment="1">
      <alignment horizontal="center"/>
    </xf>
    <xf numFmtId="169" fontId="0" fillId="0" borderId="0" xfId="65" applyNumberFormat="1" applyFont="1" applyAlignment="1">
      <alignment horizontal="left"/>
    </xf>
    <xf numFmtId="0" fontId="6" fillId="0" borderId="0" xfId="0" applyFont="1" applyAlignment="1">
      <alignment/>
    </xf>
    <xf numFmtId="0" fontId="2" fillId="0" borderId="0" xfId="0" applyFont="1" applyAlignment="1">
      <alignment horizontal="center"/>
    </xf>
    <xf numFmtId="0" fontId="7" fillId="0" borderId="0" xfId="0" applyFont="1" applyAlignment="1">
      <alignment/>
    </xf>
    <xf numFmtId="3" fontId="7" fillId="0" borderId="0" xfId="0" applyNumberFormat="1" applyFont="1" applyAlignment="1">
      <alignment horizontal="center"/>
    </xf>
    <xf numFmtId="0" fontId="7" fillId="0" borderId="0" xfId="0" applyFont="1" applyAlignment="1">
      <alignment horizontal="left"/>
    </xf>
    <xf numFmtId="0" fontId="7" fillId="0" borderId="0" xfId="0" applyFont="1" applyFill="1" applyAlignment="1">
      <alignment/>
    </xf>
    <xf numFmtId="2"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left"/>
    </xf>
    <xf numFmtId="3" fontId="0" fillId="0" borderId="0" xfId="46" applyNumberFormat="1" applyFont="1" applyAlignment="1">
      <alignment horizontal="center"/>
    </xf>
    <xf numFmtId="3" fontId="0" fillId="0" borderId="0" xfId="0" applyNumberFormat="1" applyAlignment="1">
      <alignment horizontal="center"/>
    </xf>
    <xf numFmtId="3" fontId="0" fillId="0" borderId="0" xfId="0" applyNumberFormat="1" applyAlignment="1">
      <alignment horizontal="left"/>
    </xf>
    <xf numFmtId="11" fontId="0" fillId="0" borderId="0" xfId="0" applyNumberFormat="1" applyAlignment="1">
      <alignment horizontal="center"/>
    </xf>
    <xf numFmtId="9" fontId="7" fillId="0" borderId="0" xfId="0" applyNumberFormat="1" applyFont="1" applyAlignment="1">
      <alignment/>
    </xf>
    <xf numFmtId="0" fontId="8" fillId="0" borderId="0" xfId="0" applyFont="1" applyAlignment="1">
      <alignment/>
    </xf>
    <xf numFmtId="4" fontId="7" fillId="0" borderId="0" xfId="0" applyNumberFormat="1" applyFont="1" applyAlignment="1">
      <alignment horizontal="center"/>
    </xf>
    <xf numFmtId="167" fontId="0" fillId="0" borderId="0" xfId="0" applyNumberFormat="1" applyAlignment="1">
      <alignment horizontal="left"/>
    </xf>
    <xf numFmtId="0" fontId="4" fillId="0" borderId="0" xfId="0" applyFont="1" applyAlignment="1">
      <alignment/>
    </xf>
    <xf numFmtId="3" fontId="0" fillId="0" borderId="0" xfId="0" applyNumberFormat="1" applyBorder="1" applyAlignment="1">
      <alignment horizontal="center"/>
    </xf>
    <xf numFmtId="168" fontId="0" fillId="0" borderId="0" xfId="0" applyNumberFormat="1" applyAlignment="1">
      <alignment horizontal="center"/>
    </xf>
    <xf numFmtId="4" fontId="0" fillId="0" borderId="0" xfId="0" applyNumberFormat="1" applyAlignment="1">
      <alignment horizontal="center"/>
    </xf>
    <xf numFmtId="167" fontId="7" fillId="0" borderId="0" xfId="0" applyNumberFormat="1" applyFont="1" applyAlignment="1">
      <alignment horizontal="center"/>
    </xf>
    <xf numFmtId="167" fontId="0" fillId="0" borderId="0" xfId="0" applyNumberFormat="1" applyAlignment="1">
      <alignment horizontal="center"/>
    </xf>
    <xf numFmtId="167" fontId="0" fillId="0" borderId="0" xfId="46" applyNumberFormat="1" applyFont="1" applyAlignment="1">
      <alignment horizontal="center"/>
    </xf>
    <xf numFmtId="0" fontId="20" fillId="0" borderId="0" xfId="0" applyFont="1" applyAlignment="1">
      <alignment/>
    </xf>
    <xf numFmtId="167" fontId="20" fillId="0" borderId="0" xfId="0" applyNumberFormat="1" applyFont="1" applyAlignment="1">
      <alignment horizontal="center"/>
    </xf>
    <xf numFmtId="0" fontId="14" fillId="0" borderId="0" xfId="0" applyFont="1" applyAlignment="1">
      <alignment horizontal="left"/>
    </xf>
    <xf numFmtId="0" fontId="14" fillId="0" borderId="0" xfId="0" applyFont="1" applyAlignment="1">
      <alignment/>
    </xf>
    <xf numFmtId="11" fontId="28" fillId="0" borderId="0" xfId="0" applyNumberFormat="1" applyFont="1" applyAlignment="1">
      <alignment/>
    </xf>
    <xf numFmtId="0" fontId="29" fillId="35" borderId="0" xfId="0" applyFont="1" applyFill="1" applyAlignment="1">
      <alignment/>
    </xf>
    <xf numFmtId="11" fontId="29" fillId="35" borderId="0" xfId="0" applyNumberFormat="1" applyFont="1" applyFill="1" applyAlignment="1">
      <alignment/>
    </xf>
    <xf numFmtId="0" fontId="29" fillId="35" borderId="0" xfId="0" applyFont="1" applyFill="1" applyAlignment="1">
      <alignment horizontal="left"/>
    </xf>
    <xf numFmtId="1" fontId="7" fillId="0" borderId="0" xfId="0" applyNumberFormat="1" applyFont="1" applyAlignment="1">
      <alignment/>
    </xf>
    <xf numFmtId="0" fontId="23" fillId="0" borderId="0" xfId="0" applyFont="1" applyAlignment="1">
      <alignment/>
    </xf>
    <xf numFmtId="1" fontId="23" fillId="0" borderId="0" xfId="0" applyNumberFormat="1" applyFont="1" applyAlignment="1">
      <alignment/>
    </xf>
    <xf numFmtId="0" fontId="28" fillId="0" borderId="0" xfId="0" applyFont="1" applyAlignment="1">
      <alignment/>
    </xf>
    <xf numFmtId="0" fontId="28" fillId="0" borderId="0" xfId="0" applyFont="1" applyAlignment="1">
      <alignment horizontal="left"/>
    </xf>
    <xf numFmtId="0" fontId="15" fillId="0" borderId="0" xfId="0" applyFont="1" applyAlignment="1">
      <alignment/>
    </xf>
    <xf numFmtId="0" fontId="17" fillId="0" borderId="0" xfId="0" applyFont="1" applyAlignment="1">
      <alignment/>
    </xf>
    <xf numFmtId="0" fontId="0" fillId="36" borderId="0" xfId="0" applyFill="1" applyAlignment="1">
      <alignment/>
    </xf>
    <xf numFmtId="0" fontId="0" fillId="36" borderId="0" xfId="0" applyFill="1" applyAlignment="1">
      <alignment horizontal="left"/>
    </xf>
    <xf numFmtId="165" fontId="0" fillId="0" borderId="0" xfId="46" applyNumberFormat="1" applyFont="1" applyAlignment="1">
      <alignment/>
    </xf>
    <xf numFmtId="0" fontId="2" fillId="0" borderId="0" xfId="0" applyFont="1" applyAlignment="1">
      <alignment horizontal="left"/>
    </xf>
    <xf numFmtId="11" fontId="7" fillId="0" borderId="0" xfId="0" applyNumberFormat="1" applyFont="1" applyAlignment="1">
      <alignment/>
    </xf>
    <xf numFmtId="0" fontId="16" fillId="0" borderId="0" xfId="0" applyFont="1" applyAlignment="1">
      <alignment/>
    </xf>
    <xf numFmtId="165" fontId="16" fillId="0" borderId="0" xfId="0" applyNumberFormat="1" applyFont="1" applyAlignment="1">
      <alignment/>
    </xf>
    <xf numFmtId="0" fontId="16" fillId="0" borderId="0" xfId="0" applyFont="1" applyAlignment="1">
      <alignment horizontal="left"/>
    </xf>
    <xf numFmtId="11" fontId="24" fillId="0" borderId="0" xfId="0" applyNumberFormat="1" applyFont="1" applyAlignment="1">
      <alignment/>
    </xf>
    <xf numFmtId="0" fontId="0" fillId="37" borderId="0" xfId="0" applyFill="1" applyAlignment="1">
      <alignment/>
    </xf>
    <xf numFmtId="11" fontId="0" fillId="37" borderId="0" xfId="0" applyNumberFormat="1" applyFill="1" applyAlignment="1">
      <alignment/>
    </xf>
    <xf numFmtId="0" fontId="0" fillId="37" borderId="0" xfId="0" applyFill="1" applyAlignment="1">
      <alignment horizontal="left"/>
    </xf>
    <xf numFmtId="1" fontId="20" fillId="0" borderId="0" xfId="0" applyNumberFormat="1" applyFont="1" applyAlignment="1">
      <alignment/>
    </xf>
    <xf numFmtId="1" fontId="16" fillId="0" borderId="0" xfId="0" applyNumberFormat="1" applyFont="1" applyAlignment="1">
      <alignment/>
    </xf>
    <xf numFmtId="0" fontId="17" fillId="0" borderId="0" xfId="0" applyFont="1" applyAlignment="1">
      <alignment horizontal="left"/>
    </xf>
    <xf numFmtId="0" fontId="25" fillId="33" borderId="0" xfId="0" applyFont="1" applyFill="1" applyAlignment="1">
      <alignment/>
    </xf>
    <xf numFmtId="167" fontId="25" fillId="33" borderId="0" xfId="0" applyNumberFormat="1" applyFont="1" applyFill="1" applyAlignment="1">
      <alignment/>
    </xf>
    <xf numFmtId="0" fontId="26" fillId="33" borderId="0" xfId="0" applyFont="1" applyFill="1" applyAlignment="1">
      <alignment/>
    </xf>
    <xf numFmtId="0" fontId="26" fillId="33" borderId="0" xfId="0" applyFont="1" applyFill="1" applyAlignment="1">
      <alignment horizontal="left"/>
    </xf>
    <xf numFmtId="1" fontId="25" fillId="33" borderId="0" xfId="0" applyNumberFormat="1" applyFont="1" applyFill="1" applyAlignment="1">
      <alignment/>
    </xf>
    <xf numFmtId="0" fontId="0" fillId="0" borderId="0" xfId="0" applyFill="1" applyAlignment="1">
      <alignment/>
    </xf>
    <xf numFmtId="11" fontId="24" fillId="0" borderId="0" xfId="0" applyNumberFormat="1" applyFont="1" applyFill="1" applyAlignment="1">
      <alignment/>
    </xf>
    <xf numFmtId="11" fontId="0" fillId="0" borderId="0" xfId="0" applyNumberFormat="1" applyFill="1" applyAlignment="1">
      <alignment/>
    </xf>
    <xf numFmtId="0" fontId="0" fillId="0" borderId="0" xfId="0" applyFill="1" applyAlignment="1">
      <alignment horizontal="left"/>
    </xf>
    <xf numFmtId="0" fontId="24" fillId="33" borderId="0" xfId="0" applyFont="1" applyFill="1" applyAlignment="1">
      <alignment/>
    </xf>
    <xf numFmtId="167" fontId="24" fillId="33" borderId="0" xfId="0" applyNumberFormat="1" applyFont="1" applyFill="1" applyAlignment="1">
      <alignment/>
    </xf>
    <xf numFmtId="0" fontId="30" fillId="33" borderId="0" xfId="0" applyFont="1" applyFill="1" applyAlignment="1">
      <alignment/>
    </xf>
    <xf numFmtId="0" fontId="30" fillId="33" borderId="0" xfId="0" applyFont="1" applyFill="1" applyAlignment="1">
      <alignment horizontal="left"/>
    </xf>
    <xf numFmtId="43" fontId="0" fillId="0" borderId="0" xfId="46" applyFont="1" applyAlignment="1">
      <alignment/>
    </xf>
    <xf numFmtId="164" fontId="24" fillId="33" borderId="0" xfId="0" applyNumberFormat="1" applyFont="1" applyFill="1" applyAlignment="1">
      <alignment/>
    </xf>
    <xf numFmtId="0" fontId="24" fillId="33" borderId="0" xfId="0" applyFont="1" applyFill="1" applyAlignment="1">
      <alignment horizontal="left"/>
    </xf>
    <xf numFmtId="11" fontId="24" fillId="33" borderId="0" xfId="0" applyNumberFormat="1" applyFont="1" applyFill="1" applyAlignment="1">
      <alignment horizontal="right"/>
    </xf>
    <xf numFmtId="164" fontId="24" fillId="33" borderId="0" xfId="0" applyNumberFormat="1" applyFont="1" applyFill="1" applyAlignment="1">
      <alignment horizontal="right"/>
    </xf>
    <xf numFmtId="43" fontId="24" fillId="33" borderId="0" xfId="0" applyNumberFormat="1" applyFont="1" applyFill="1" applyAlignment="1">
      <alignment/>
    </xf>
    <xf numFmtId="0" fontId="2" fillId="0" borderId="0" xfId="0" applyFont="1" applyAlignment="1">
      <alignment wrapText="1"/>
    </xf>
    <xf numFmtId="0" fontId="0" fillId="0" borderId="0" xfId="0" applyAlignment="1">
      <alignment horizontal="right"/>
    </xf>
    <xf numFmtId="0" fontId="33" fillId="0" borderId="10" xfId="48" applyFont="1" applyBorder="1">
      <alignment/>
      <protection/>
    </xf>
    <xf numFmtId="0" fontId="34" fillId="0" borderId="10" xfId="48" applyFont="1" applyBorder="1" applyAlignment="1">
      <alignment horizontal="center" wrapText="1"/>
      <protection/>
    </xf>
    <xf numFmtId="0" fontId="34" fillId="0" borderId="11" xfId="48" applyFont="1" applyBorder="1">
      <alignment/>
      <protection/>
    </xf>
    <xf numFmtId="1" fontId="33" fillId="0" borderId="11" xfId="48" applyNumberFormat="1" applyFont="1" applyBorder="1" applyAlignment="1">
      <alignment horizontal="center"/>
      <protection/>
    </xf>
    <xf numFmtId="0" fontId="33" fillId="0" borderId="12" xfId="48" applyFont="1" applyBorder="1" applyAlignment="1">
      <alignment horizontal="right"/>
      <protection/>
    </xf>
    <xf numFmtId="0" fontId="68" fillId="0" borderId="13" xfId="0" applyFont="1" applyBorder="1" applyAlignment="1">
      <alignment/>
    </xf>
    <xf numFmtId="0" fontId="68" fillId="0" borderId="14" xfId="0" applyFont="1" applyBorder="1" applyAlignment="1">
      <alignment horizontal="left"/>
    </xf>
    <xf numFmtId="0" fontId="68" fillId="0" borderId="12" xfId="0" applyFont="1" applyBorder="1" applyAlignment="1">
      <alignment/>
    </xf>
    <xf numFmtId="0" fontId="24" fillId="33" borderId="0" xfId="0" applyFont="1" applyFill="1" applyAlignment="1">
      <alignment wrapText="1"/>
    </xf>
    <xf numFmtId="0" fontId="0" fillId="0" borderId="0" xfId="0" applyAlignment="1">
      <alignment/>
    </xf>
    <xf numFmtId="0" fontId="34" fillId="0" borderId="15" xfId="48" applyFont="1" applyBorder="1" applyAlignment="1">
      <alignment horizontal="center" wrapText="1"/>
      <protection/>
    </xf>
    <xf numFmtId="0" fontId="34" fillId="0" borderId="16" xfId="48" applyFont="1" applyBorder="1" applyAlignment="1">
      <alignment horizontal="center" wrapText="1"/>
      <protection/>
    </xf>
    <xf numFmtId="0" fontId="34" fillId="0" borderId="17" xfId="48" applyFont="1" applyBorder="1" applyAlignment="1">
      <alignment horizontal="center" wrapText="1"/>
      <protection/>
    </xf>
    <xf numFmtId="0" fontId="68" fillId="0" borderId="0" xfId="0" applyFont="1" applyAlignment="1">
      <alignment/>
    </xf>
    <xf numFmtId="11" fontId="30" fillId="0" borderId="0" xfId="0" applyNumberFormat="1" applyFont="1" applyAlignment="1">
      <alignment horizontal="right"/>
    </xf>
    <xf numFmtId="11" fontId="68" fillId="0" borderId="0" xfId="0" applyNumberFormat="1" applyFont="1" applyAlignment="1">
      <alignment horizontal="right"/>
    </xf>
    <xf numFmtId="169" fontId="68" fillId="0" borderId="0" xfId="65" applyNumberFormat="1" applyFont="1" applyAlignment="1">
      <alignment horizontal="left"/>
    </xf>
    <xf numFmtId="0" fontId="68" fillId="0" borderId="0" xfId="0" applyFont="1" applyAlignment="1">
      <alignment horizontal="left"/>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Migliaia 2" xfId="46"/>
    <cellStyle name="Neutrale" xfId="47"/>
    <cellStyle name="Normale 2" xfId="48"/>
    <cellStyle name="Nota" xfId="49"/>
    <cellStyle name="Output" xfId="50"/>
    <cellStyle name="Percent" xfId="51"/>
    <cellStyle name="Percentuale 2"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 name="Valuta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190500</xdr:colOff>
      <xdr:row>3</xdr:row>
      <xdr:rowOff>323850</xdr:rowOff>
    </xdr:from>
    <xdr:to>
      <xdr:col>19</xdr:col>
      <xdr:colOff>114300</xdr:colOff>
      <xdr:row>33</xdr:row>
      <xdr:rowOff>152400</xdr:rowOff>
    </xdr:to>
    <xdr:pic>
      <xdr:nvPicPr>
        <xdr:cNvPr id="1" name="Immagine 1" descr="2009-05-24-tabella-energie-rinnovabili.jpg"/>
        <xdr:cNvPicPr preferRelativeResize="1">
          <a:picLocks noChangeAspect="1"/>
        </xdr:cNvPicPr>
      </xdr:nvPicPr>
      <xdr:blipFill>
        <a:blip r:embed="rId1"/>
        <a:stretch>
          <a:fillRect/>
        </a:stretch>
      </xdr:blipFill>
      <xdr:spPr>
        <a:xfrm>
          <a:off x="6572250" y="895350"/>
          <a:ext cx="4191000" cy="6115050"/>
        </a:xfrm>
        <a:prstGeom prst="rect">
          <a:avLst/>
        </a:prstGeom>
        <a:noFill/>
        <a:ln w="9525" cmpd="sng">
          <a:noFill/>
        </a:ln>
      </xdr:spPr>
    </xdr:pic>
    <xdr:clientData/>
  </xdr:twoCellAnchor>
  <xdr:twoCellAnchor>
    <xdr:from>
      <xdr:col>1</xdr:col>
      <xdr:colOff>419100</xdr:colOff>
      <xdr:row>14</xdr:row>
      <xdr:rowOff>180975</xdr:rowOff>
    </xdr:from>
    <xdr:to>
      <xdr:col>10</xdr:col>
      <xdr:colOff>123825</xdr:colOff>
      <xdr:row>33</xdr:row>
      <xdr:rowOff>38100</xdr:rowOff>
    </xdr:to>
    <xdr:pic>
      <xdr:nvPicPr>
        <xdr:cNvPr id="2" name="Picture 1"/>
        <xdr:cNvPicPr preferRelativeResize="1">
          <a:picLocks noChangeAspect="1"/>
        </xdr:cNvPicPr>
      </xdr:nvPicPr>
      <xdr:blipFill>
        <a:blip r:embed="rId2"/>
        <a:stretch>
          <a:fillRect/>
        </a:stretch>
      </xdr:blipFill>
      <xdr:spPr>
        <a:xfrm>
          <a:off x="1028700" y="3419475"/>
          <a:ext cx="4257675" cy="3476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mpostazioni%20locali/Temp/costi-generazione.htm" TargetMode="External" /><Relationship Id="rId2" Type="http://schemas.openxmlformats.org/officeDocument/2006/relationships/hyperlink" Target="../Impostazioni%20locali/Temp/costi-generazione.htm" TargetMode="External" /><Relationship Id="rId3" Type="http://schemas.openxmlformats.org/officeDocument/2006/relationships/hyperlink" Target="../Impostazioni%20locali/Temp/costi-generazione.htm" TargetMode="External" /><Relationship Id="rId4" Type="http://schemas.openxmlformats.org/officeDocument/2006/relationships/hyperlink" Target="http://www.externe.info/" TargetMode="External" /><Relationship Id="rId5" Type="http://schemas.openxmlformats.org/officeDocument/2006/relationships/hyperlink" Target="http://www.aspoitalia.net/documenti/libero/finlandiaitalia.html" TargetMode="External" /><Relationship Id="rId6" Type="http://schemas.openxmlformats.org/officeDocument/2006/relationships/hyperlink" Target="http://www.uce-uu.nl/REW%2003-1%20Lysen.pdf" TargetMode="External" /><Relationship Id="rId7" Type="http://schemas.openxmlformats.org/officeDocument/2006/relationships/hyperlink" Target="http://www.uce-uu.nl/REW%2003-1%20Lysen.pdf" TargetMode="External" /><Relationship Id="rId8" Type="http://schemas.openxmlformats.org/officeDocument/2006/relationships/hyperlink" Target="http://www.uce-uu.nl/REW%2003-1%20Lysen.pdf" TargetMode="External" /><Relationship Id="rId9" Type="http://schemas.openxmlformats.org/officeDocument/2006/relationships/hyperlink" Target="http://itabia.ing.univaq.it/Itabia_docs/PDF/LA%20POSIZIONE%20DI%20ITABIA.PDF" TargetMode="External" /><Relationship Id="rId10" Type="http://schemas.openxmlformats.org/officeDocument/2006/relationships/hyperlink" Target="http://itabia.ing.univaq.it/Itabia_docs/PDF/LA%20POSIZIONE%20DI%20ITABIA.PDF" TargetMode="External" /><Relationship Id="rId11" Type="http://schemas.openxmlformats.org/officeDocument/2006/relationships/hyperlink" Target="http://itabia.ing.univaq.it/Itabia_docs/PDF/LA%20POSIZIONE%20DI%20ITABIA.PDF" TargetMode="External" /><Relationship Id="rId12" Type="http://schemas.openxmlformats.org/officeDocument/2006/relationships/hyperlink" Target="http://web.mit.edu/nuclearpower" TargetMode="External" /><Relationship Id="rId13" Type="http://schemas.openxmlformats.org/officeDocument/2006/relationships/hyperlink" Target="http://web.mit.edu/nuclearpower" TargetMode="External" /><Relationship Id="rId14" Type="http://schemas.openxmlformats.org/officeDocument/2006/relationships/hyperlink" Target="http://externe.jrc.es/infosys.html" TargetMode="External" /><Relationship Id="rId15" Type="http://schemas.openxmlformats.org/officeDocument/2006/relationships/hyperlink" Target="http://www.aspoitalia.net/documenti/bardi/eroei/eroei.html" TargetMode="External" /><Relationship Id="rId16" Type="http://schemas.openxmlformats.org/officeDocument/2006/relationships/hyperlink" Target="http://www.area.trieste.it/html/press/magazine/31/31_4.htm" TargetMode="External" /><Relationship Id="rId17" Type="http://schemas.openxmlformats.org/officeDocument/2006/relationships/hyperlink" Target="http://www.mercatoelettrico.org/GmewebItaliano/MenuBiblioteca/Documenti/20050408MgpReportGiornaliero.pdf" TargetMode="External" /><Relationship Id="rId18" Type="http://schemas.openxmlformats.org/officeDocument/2006/relationships/hyperlink" Target="http://www.mercatoelettrico.org/GmewebItaliano/MenuBiblioteca/Documenti/20050408MgpReportGiornaliero.pdf" TargetMode="External" /><Relationship Id="rId19" Type="http://schemas.openxmlformats.org/officeDocument/2006/relationships/hyperlink" Target="http://www.neimagazine.com/story.asp?storyCode=2035326" TargetMode="External" /><Relationship Id="rId20" Type="http://schemas.openxmlformats.org/officeDocument/2006/relationships/comments" Target="../comments1.xml" /><Relationship Id="rId21" Type="http://schemas.openxmlformats.org/officeDocument/2006/relationships/vmlDrawing" Target="../drawings/vmlDrawing1.vml" /><Relationship Id="rId2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116"/>
  <sheetViews>
    <sheetView tabSelected="1" zoomScalePageLayoutView="0" workbookViewId="0" topLeftCell="A1">
      <selection activeCell="A1" sqref="A1"/>
    </sheetView>
  </sheetViews>
  <sheetFormatPr defaultColWidth="9.140625" defaultRowHeight="15"/>
  <cols>
    <col min="3" max="3" width="11.00390625" style="0" bestFit="1" customWidth="1"/>
    <col min="4" max="4" width="15.00390625" style="0" bestFit="1" customWidth="1"/>
    <col min="5" max="5" width="12.00390625" style="0" customWidth="1"/>
    <col min="6" max="6" width="11.00390625" style="0" customWidth="1"/>
    <col min="7" max="7" width="11.57421875" style="0" customWidth="1"/>
    <col min="8" max="8" width="11.421875" style="0" customWidth="1"/>
    <col min="9" max="9" width="12.7109375" style="0" customWidth="1"/>
    <col min="10" max="10" width="17.8515625" style="0" customWidth="1"/>
    <col min="11" max="11" width="14.8515625" style="0" customWidth="1"/>
    <col min="12" max="12" width="13.8515625" style="0" customWidth="1"/>
    <col min="13" max="13" width="15.8515625" style="0" customWidth="1"/>
    <col min="14" max="14" width="24.7109375" style="0" customWidth="1"/>
    <col min="15" max="15" width="15.57421875" style="33" customWidth="1"/>
    <col min="16" max="16" width="22.7109375" style="0" customWidth="1"/>
    <col min="17" max="17" width="17.421875" style="0" customWidth="1"/>
  </cols>
  <sheetData>
    <row r="1" ht="6" customHeight="1"/>
    <row r="2" spans="4:7" ht="15.75">
      <c r="D2" s="34" t="s">
        <v>0</v>
      </c>
      <c r="E2" s="35"/>
      <c r="F2" s="35"/>
      <c r="G2" s="35"/>
    </row>
    <row r="3" s="36" customFormat="1" ht="12.75">
      <c r="O3" s="37"/>
    </row>
    <row r="4" spans="4:17" ht="8.25" customHeight="1">
      <c r="D4" s="38"/>
      <c r="E4" s="38"/>
      <c r="F4" s="38"/>
      <c r="G4" s="38"/>
      <c r="H4" s="38"/>
      <c r="I4" s="38"/>
      <c r="J4" s="38"/>
      <c r="K4" s="38"/>
      <c r="L4" s="38"/>
      <c r="M4" s="38"/>
      <c r="P4" s="116" t="s">
        <v>75</v>
      </c>
      <c r="Q4" s="39" t="s">
        <v>1</v>
      </c>
    </row>
    <row r="5" spans="4:16" ht="15">
      <c r="D5" s="40" t="s">
        <v>2</v>
      </c>
      <c r="E5" s="40" t="s">
        <v>3</v>
      </c>
      <c r="F5" s="40" t="s">
        <v>4</v>
      </c>
      <c r="G5" s="40" t="s">
        <v>5</v>
      </c>
      <c r="H5" s="41" t="s">
        <v>6</v>
      </c>
      <c r="I5" s="40" t="s">
        <v>7</v>
      </c>
      <c r="J5" s="41" t="s">
        <v>8</v>
      </c>
      <c r="K5" s="41" t="s">
        <v>9</v>
      </c>
      <c r="L5" s="41" t="s">
        <v>10</v>
      </c>
      <c r="M5" s="41" t="s">
        <v>11</v>
      </c>
      <c r="O5" s="33" t="str">
        <f>D5</f>
        <v>NUCLEARE</v>
      </c>
      <c r="P5" s="42">
        <f>P17</f>
        <v>46.124046318949</v>
      </c>
    </row>
    <row r="6" spans="1:16" ht="15">
      <c r="A6" s="43" t="s">
        <v>12</v>
      </c>
      <c r="D6" s="38"/>
      <c r="E6" s="38"/>
      <c r="F6" s="38"/>
      <c r="G6" s="38"/>
      <c r="H6" s="44" t="s">
        <v>13</v>
      </c>
      <c r="I6" s="38"/>
      <c r="J6" s="38"/>
      <c r="K6" s="38"/>
      <c r="L6" s="38"/>
      <c r="M6" s="38"/>
      <c r="O6" s="33" t="str">
        <f>E5</f>
        <v>CARBONE</v>
      </c>
      <c r="P6" s="42">
        <f aca="true" t="shared" si="0" ref="P6:P14">P18</f>
        <v>39.867578498248086</v>
      </c>
    </row>
    <row r="7" spans="1:16" s="45" customFormat="1" ht="15">
      <c r="A7" s="45" t="s">
        <v>14</v>
      </c>
      <c r="D7" s="46">
        <v>3000</v>
      </c>
      <c r="E7" s="46">
        <v>1200</v>
      </c>
      <c r="F7" s="46">
        <v>1100</v>
      </c>
      <c r="G7" s="46">
        <v>700</v>
      </c>
      <c r="H7" s="46">
        <v>2000</v>
      </c>
      <c r="I7" s="46">
        <v>1000</v>
      </c>
      <c r="J7" s="46">
        <v>2000</v>
      </c>
      <c r="K7" s="46">
        <v>3500</v>
      </c>
      <c r="L7" s="46">
        <v>2500</v>
      </c>
      <c r="M7" s="46">
        <v>2000</v>
      </c>
      <c r="O7" s="47" t="str">
        <f>F5</f>
        <v>PETROLIO</v>
      </c>
      <c r="P7" s="42">
        <f t="shared" si="0"/>
        <v>73.60063252836338</v>
      </c>
    </row>
    <row r="8" spans="1:16" s="48" customFormat="1" ht="15">
      <c r="A8" s="48" t="s">
        <v>15</v>
      </c>
      <c r="D8" s="49">
        <v>0.8</v>
      </c>
      <c r="E8" s="49">
        <v>0.8</v>
      </c>
      <c r="F8" s="49">
        <v>0.8</v>
      </c>
      <c r="G8" s="49">
        <v>0.8</v>
      </c>
      <c r="H8" s="50">
        <v>0.13</v>
      </c>
      <c r="I8" s="50">
        <v>0.23</v>
      </c>
      <c r="J8" s="49">
        <v>0.45</v>
      </c>
      <c r="K8" s="49">
        <v>0.8</v>
      </c>
      <c r="L8" s="49">
        <v>0.25</v>
      </c>
      <c r="M8" s="49">
        <v>0.8</v>
      </c>
      <c r="O8" s="51" t="str">
        <f>G5</f>
        <v>GAS C.C.</v>
      </c>
      <c r="P8" s="42">
        <f t="shared" si="0"/>
        <v>51.74696589524431</v>
      </c>
    </row>
    <row r="9" spans="1:16" ht="15">
      <c r="A9" t="s">
        <v>16</v>
      </c>
      <c r="D9" s="52">
        <f aca="true" t="shared" si="1" ref="D9:M9">365*24*D8</f>
        <v>7008</v>
      </c>
      <c r="E9" s="53">
        <f t="shared" si="1"/>
        <v>7008</v>
      </c>
      <c r="F9" s="53">
        <f t="shared" si="1"/>
        <v>7008</v>
      </c>
      <c r="G9" s="53">
        <f t="shared" si="1"/>
        <v>7008</v>
      </c>
      <c r="H9" s="53">
        <f t="shared" si="1"/>
        <v>1138.8</v>
      </c>
      <c r="I9" s="53">
        <f t="shared" si="1"/>
        <v>2014.8000000000002</v>
      </c>
      <c r="J9" s="53">
        <f t="shared" si="1"/>
        <v>3942</v>
      </c>
      <c r="K9" s="53">
        <f t="shared" si="1"/>
        <v>7008</v>
      </c>
      <c r="L9" s="53">
        <f t="shared" si="1"/>
        <v>2190</v>
      </c>
      <c r="M9" s="53">
        <f t="shared" si="1"/>
        <v>7008</v>
      </c>
      <c r="O9" s="54" t="str">
        <f>H5</f>
        <v>FOTOVOLT</v>
      </c>
      <c r="P9" s="42">
        <f t="shared" si="0"/>
        <v>111.35972382599121</v>
      </c>
    </row>
    <row r="10" spans="1:16" ht="8.25" customHeight="1">
      <c r="A10" s="29"/>
      <c r="D10" s="55"/>
      <c r="E10" s="55"/>
      <c r="F10" s="55"/>
      <c r="G10" s="55"/>
      <c r="H10" s="55"/>
      <c r="I10" s="55"/>
      <c r="J10" s="55"/>
      <c r="K10" s="38"/>
      <c r="L10" s="38"/>
      <c r="M10" s="38"/>
      <c r="O10" s="33" t="str">
        <f>I5</f>
        <v>EOLICO</v>
      </c>
      <c r="P10" s="42">
        <f t="shared" si="0"/>
        <v>42.23209586386707</v>
      </c>
    </row>
    <row r="11" spans="1:16" ht="15">
      <c r="A11" s="43" t="s">
        <v>17</v>
      </c>
      <c r="D11" s="38"/>
      <c r="E11" s="38"/>
      <c r="F11" s="38"/>
      <c r="G11" s="38"/>
      <c r="H11" s="38"/>
      <c r="I11" s="38"/>
      <c r="J11" s="38"/>
      <c r="K11" s="38"/>
      <c r="L11" s="38"/>
      <c r="M11" s="38"/>
      <c r="O11" s="33" t="str">
        <f>J5</f>
        <v>IDROELETTRICO</v>
      </c>
      <c r="P11" s="42">
        <f t="shared" si="0"/>
        <v>38.83725354973079</v>
      </c>
    </row>
    <row r="12" spans="1:16" ht="15">
      <c r="A12" t="s">
        <v>18</v>
      </c>
      <c r="D12" s="53">
        <f>1000*(((D7-(D7/30*(1-1)))*(POWER(1.02,1))*0.03)+D7/30)/D9</f>
        <v>27.368721461187214</v>
      </c>
      <c r="E12" s="53">
        <f aca="true" t="shared" si="2" ref="E12:M12">1000*(((E7-(E7/30*(1-1)))*(POWER(1.02,1))*0.03)+E7/30)/E9</f>
        <v>10.947488584474886</v>
      </c>
      <c r="F12" s="53">
        <f t="shared" si="2"/>
        <v>10.035197869101978</v>
      </c>
      <c r="G12" s="53">
        <f t="shared" si="2"/>
        <v>6.386035007610349</v>
      </c>
      <c r="H12" s="53">
        <f t="shared" si="2"/>
        <v>112.28193419974242</v>
      </c>
      <c r="I12" s="53">
        <f t="shared" si="2"/>
        <v>31.73185096949242</v>
      </c>
      <c r="J12" s="53">
        <f t="shared" si="2"/>
        <v>32.43700321325892</v>
      </c>
      <c r="K12" s="53">
        <f t="shared" si="2"/>
        <v>31.93017503805175</v>
      </c>
      <c r="L12" s="53">
        <f t="shared" si="2"/>
        <v>72.98325722983256</v>
      </c>
      <c r="M12" s="53">
        <f t="shared" si="2"/>
        <v>18.245814307458144</v>
      </c>
      <c r="O12" s="54" t="str">
        <f>K5</f>
        <v>GEOTERMICO</v>
      </c>
      <c r="P12" s="42">
        <f t="shared" si="0"/>
        <v>34.40229646301625</v>
      </c>
    </row>
    <row r="13" spans="1:16" ht="15">
      <c r="A13" t="s">
        <v>19</v>
      </c>
      <c r="D13" s="53">
        <f aca="true" t="shared" si="3" ref="D13:M13">1000*(((D7-(D7/30*(15-1)))*(POWER(1.02,15))*0.03)+D7/30)/D9</f>
        <v>23.487682682585362</v>
      </c>
      <c r="E13" s="53">
        <f t="shared" si="3"/>
        <v>9.395073073034144</v>
      </c>
      <c r="F13" s="53">
        <f t="shared" si="3"/>
        <v>8.612150316947965</v>
      </c>
      <c r="G13" s="53">
        <f t="shared" si="3"/>
        <v>5.48045929260325</v>
      </c>
      <c r="H13" s="52">
        <f t="shared" si="3"/>
        <v>96.35972382599121</v>
      </c>
      <c r="I13" s="53">
        <f t="shared" si="3"/>
        <v>27.232095863867077</v>
      </c>
      <c r="J13" s="53">
        <f t="shared" si="3"/>
        <v>27.837253549730793</v>
      </c>
      <c r="K13" s="53">
        <f t="shared" si="3"/>
        <v>27.40229646301625</v>
      </c>
      <c r="L13" s="53">
        <f t="shared" si="3"/>
        <v>62.633820486894294</v>
      </c>
      <c r="M13" s="53">
        <f t="shared" si="3"/>
        <v>15.658455121723572</v>
      </c>
      <c r="O13" s="54" t="str">
        <f>L5</f>
        <v>ELIOTERMICO</v>
      </c>
      <c r="P13" s="42">
        <f t="shared" si="0"/>
        <v>74.6338204868943</v>
      </c>
    </row>
    <row r="14" spans="1:16" ht="15">
      <c r="A14" t="s">
        <v>20</v>
      </c>
      <c r="D14" s="53">
        <f aca="true" t="shared" si="4" ref="D14:M14">1000*(((D7-(D7/30*(30-1)))*(POWER(1.02,30))*0.03)+D7/30)/D9</f>
        <v>15.044818029724608</v>
      </c>
      <c r="E14" s="53">
        <f t="shared" si="4"/>
        <v>6.017927211889844</v>
      </c>
      <c r="F14" s="53">
        <f t="shared" si="4"/>
        <v>5.51643327756569</v>
      </c>
      <c r="G14" s="53">
        <f t="shared" si="4"/>
        <v>3.5104575402690754</v>
      </c>
      <c r="H14" s="52">
        <f t="shared" si="4"/>
        <v>61.72233037835738</v>
      </c>
      <c r="I14" s="53">
        <f t="shared" si="4"/>
        <v>17.443267280840125</v>
      </c>
      <c r="J14" s="53">
        <f t="shared" si="4"/>
        <v>17.830895442636574</v>
      </c>
      <c r="K14" s="53">
        <f t="shared" si="4"/>
        <v>17.552287701345378</v>
      </c>
      <c r="L14" s="53">
        <f t="shared" si="4"/>
        <v>40.11951474593229</v>
      </c>
      <c r="M14" s="53">
        <f t="shared" si="4"/>
        <v>10.029878686483073</v>
      </c>
      <c r="O14" s="54" t="str">
        <f>M5</f>
        <v>BIOENERGIA</v>
      </c>
      <c r="P14" s="42">
        <f t="shared" si="0"/>
        <v>68.75369321696166</v>
      </c>
    </row>
    <row r="15" spans="1:13" ht="8.25" customHeight="1">
      <c r="A15" s="29"/>
      <c r="D15" s="53"/>
      <c r="E15" s="53"/>
      <c r="F15" s="53"/>
      <c r="G15" s="53"/>
      <c r="H15" s="53"/>
      <c r="I15" s="53"/>
      <c r="J15" s="53"/>
      <c r="K15" s="53"/>
      <c r="L15" s="53"/>
      <c r="M15" s="53"/>
    </row>
    <row r="16" spans="1:13" ht="15">
      <c r="A16" s="43" t="s">
        <v>21</v>
      </c>
      <c r="D16" s="53"/>
      <c r="E16" s="53"/>
      <c r="F16" s="53"/>
      <c r="G16" s="53"/>
      <c r="H16" s="53"/>
      <c r="I16" s="53"/>
      <c r="J16" s="53"/>
      <c r="K16" s="53"/>
      <c r="L16" s="53"/>
      <c r="M16" s="53"/>
    </row>
    <row r="17" spans="1:16" ht="15">
      <c r="A17" s="56" t="s">
        <v>22</v>
      </c>
      <c r="B17" s="45"/>
      <c r="C17" s="57" t="s">
        <v>23</v>
      </c>
      <c r="D17" s="24">
        <v>2700</v>
      </c>
      <c r="E17" s="25">
        <v>0.07</v>
      </c>
      <c r="F17" s="25">
        <f>45/160</f>
        <v>0.28125</v>
      </c>
      <c r="G17" s="25">
        <v>0.22</v>
      </c>
      <c r="H17" s="58"/>
      <c r="I17" s="58"/>
      <c r="J17" s="58"/>
      <c r="K17" s="58"/>
      <c r="L17" s="58"/>
      <c r="M17" s="25">
        <v>0.04</v>
      </c>
      <c r="N17" s="45"/>
      <c r="P17" s="59">
        <f>D27</f>
        <v>46.124046318949</v>
      </c>
    </row>
    <row r="18" spans="1:16" ht="15">
      <c r="A18" s="29" t="s">
        <v>24</v>
      </c>
      <c r="C18" s="60" t="s">
        <v>25</v>
      </c>
      <c r="D18" s="53">
        <v>600000</v>
      </c>
      <c r="E18" s="53">
        <v>9.7692</v>
      </c>
      <c r="F18" s="53">
        <v>11.721</v>
      </c>
      <c r="G18" s="53">
        <v>9.52</v>
      </c>
      <c r="H18" s="53"/>
      <c r="I18" s="53"/>
      <c r="J18" s="61"/>
      <c r="K18" s="53"/>
      <c r="L18" s="53"/>
      <c r="M18" s="53">
        <v>4.2</v>
      </c>
      <c r="P18" s="59">
        <f>E27</f>
        <v>39.867578498248086</v>
      </c>
    </row>
    <row r="19" spans="1:16" ht="15">
      <c r="A19" s="29" t="s">
        <v>26</v>
      </c>
      <c r="D19" s="62">
        <f>D17/D18</f>
        <v>0.0045</v>
      </c>
      <c r="E19" s="63">
        <f>E17/E18</f>
        <v>0.007165376898824879</v>
      </c>
      <c r="F19" s="63">
        <f>F17/F18</f>
        <v>0.023995392884566164</v>
      </c>
      <c r="G19" s="63">
        <f>G17/G18</f>
        <v>0.023109243697478993</v>
      </c>
      <c r="H19" s="63"/>
      <c r="I19" s="63"/>
      <c r="J19" s="63"/>
      <c r="K19" s="63"/>
      <c r="L19" s="63"/>
      <c r="M19" s="63">
        <f>M17/M18</f>
        <v>0.009523809523809523</v>
      </c>
      <c r="P19" s="59">
        <f>F27</f>
        <v>73.60063252836338</v>
      </c>
    </row>
    <row r="20" spans="1:16" s="45" customFormat="1" ht="15">
      <c r="A20" s="56" t="s">
        <v>27</v>
      </c>
      <c r="D20" s="26">
        <v>0.33</v>
      </c>
      <c r="E20" s="26">
        <v>0.35</v>
      </c>
      <c r="F20" s="26">
        <v>0.4</v>
      </c>
      <c r="G20" s="26">
        <v>0.56</v>
      </c>
      <c r="H20" s="26"/>
      <c r="I20" s="26"/>
      <c r="J20" s="26"/>
      <c r="K20" s="26"/>
      <c r="L20" s="26"/>
      <c r="M20" s="26">
        <v>0.25</v>
      </c>
      <c r="O20" s="47"/>
      <c r="P20" s="59">
        <f>G27</f>
        <v>51.74696589524431</v>
      </c>
    </row>
    <row r="21" spans="1:16" ht="15">
      <c r="A21" s="29" t="s">
        <v>28</v>
      </c>
      <c r="D21" s="53">
        <f>D19/D20*1000</f>
        <v>13.636363636363633</v>
      </c>
      <c r="E21" s="53">
        <f>E19/E20*1000</f>
        <v>20.472505425213942</v>
      </c>
      <c r="F21" s="53">
        <f>F19/F20*1000</f>
        <v>59.98848221141541</v>
      </c>
      <c r="G21" s="53">
        <f>G19/G20*1000</f>
        <v>41.26650660264106</v>
      </c>
      <c r="H21" s="53"/>
      <c r="I21" s="53"/>
      <c r="J21" s="53"/>
      <c r="K21" s="53"/>
      <c r="L21" s="53"/>
      <c r="M21" s="53">
        <f>M19/M20*1000</f>
        <v>38.095238095238095</v>
      </c>
      <c r="P21" s="59">
        <f>H27</f>
        <v>111.35972382599121</v>
      </c>
    </row>
    <row r="22" spans="4:16" ht="8.25" customHeight="1">
      <c r="D22" s="38"/>
      <c r="E22" s="38"/>
      <c r="F22" s="38"/>
      <c r="G22" s="38"/>
      <c r="H22" s="38"/>
      <c r="I22" s="38"/>
      <c r="J22" s="38"/>
      <c r="K22" s="38"/>
      <c r="L22" s="38"/>
      <c r="M22" s="38"/>
      <c r="P22" s="59">
        <f>I27</f>
        <v>42.23209586386707</v>
      </c>
    </row>
    <row r="23" spans="1:16" s="45" customFormat="1" ht="15">
      <c r="A23" s="43" t="s">
        <v>29</v>
      </c>
      <c r="D23" s="64">
        <v>9</v>
      </c>
      <c r="E23" s="64">
        <v>10</v>
      </c>
      <c r="F23" s="64">
        <v>5</v>
      </c>
      <c r="G23" s="64">
        <v>5</v>
      </c>
      <c r="H23" s="64">
        <v>15</v>
      </c>
      <c r="I23" s="64">
        <v>15</v>
      </c>
      <c r="J23" s="64">
        <v>11</v>
      </c>
      <c r="K23" s="64">
        <v>7</v>
      </c>
      <c r="L23" s="64">
        <v>12</v>
      </c>
      <c r="M23" s="64">
        <v>15</v>
      </c>
      <c r="O23" s="47"/>
      <c r="P23" s="59">
        <f>J27</f>
        <v>38.83725354973079</v>
      </c>
    </row>
    <row r="24" spans="4:16" ht="8.25" customHeight="1">
      <c r="D24" s="65"/>
      <c r="E24" s="65"/>
      <c r="F24" s="65"/>
      <c r="G24" s="65"/>
      <c r="H24" s="65"/>
      <c r="I24" s="65"/>
      <c r="J24" s="65"/>
      <c r="K24" s="65"/>
      <c r="L24" s="65"/>
      <c r="M24" s="65"/>
      <c r="P24" s="59">
        <f>K27</f>
        <v>34.40229646301625</v>
      </c>
    </row>
    <row r="25" spans="1:16" ht="15">
      <c r="A25" s="43" t="s">
        <v>30</v>
      </c>
      <c r="D25" s="65"/>
      <c r="E25" s="65"/>
      <c r="F25" s="65"/>
      <c r="G25" s="65"/>
      <c r="H25" s="65"/>
      <c r="I25" s="65"/>
      <c r="J25" s="65"/>
      <c r="K25" s="65"/>
      <c r="L25" s="65"/>
      <c r="M25" s="65"/>
      <c r="P25" s="59">
        <f>L27</f>
        <v>74.6338204868943</v>
      </c>
    </row>
    <row r="26" spans="1:16" ht="15">
      <c r="A26" t="s">
        <v>31</v>
      </c>
      <c r="D26" s="65">
        <f>(D12+D21+D23)</f>
        <v>50.00508509755085</v>
      </c>
      <c r="E26" s="65">
        <f>(E12+E21+E23)</f>
        <v>41.41999400968883</v>
      </c>
      <c r="F26" s="65">
        <f>(F12+F21+F23)</f>
        <v>75.02368008051738</v>
      </c>
      <c r="G26" s="65">
        <f>(G12+G21+G23)</f>
        <v>52.652541610251404</v>
      </c>
      <c r="H26" s="65">
        <f>(H12+H21+H23)</f>
        <v>127.28193419974242</v>
      </c>
      <c r="I26" s="65">
        <f>(I12+I23)</f>
        <v>46.73185096949242</v>
      </c>
      <c r="J26" s="66">
        <f>(J12+J23)</f>
        <v>43.43700321325892</v>
      </c>
      <c r="K26" s="65">
        <f>(K12+K23)</f>
        <v>38.93017503805175</v>
      </c>
      <c r="L26" s="66">
        <f>(L12+L23)</f>
        <v>84.98325722983256</v>
      </c>
      <c r="M26" s="66">
        <f>(M12+M21+M23)</f>
        <v>71.34105240269623</v>
      </c>
      <c r="P26" s="59">
        <f>M27</f>
        <v>68.75369321696166</v>
      </c>
    </row>
    <row r="27" spans="1:15" s="70" customFormat="1" ht="12.75">
      <c r="A27" s="67" t="s">
        <v>32</v>
      </c>
      <c r="B27" s="67"/>
      <c r="C27" s="67"/>
      <c r="D27" s="68">
        <f>(D13+D21+D23)</f>
        <v>46.124046318949</v>
      </c>
      <c r="E27" s="68">
        <f>(E13+E21+E23)</f>
        <v>39.867578498248086</v>
      </c>
      <c r="F27" s="68">
        <f>(F13+F21+F23)</f>
        <v>73.60063252836338</v>
      </c>
      <c r="G27" s="68">
        <f>(G13+G21+G23)</f>
        <v>51.74696589524431</v>
      </c>
      <c r="H27" s="68">
        <f>(H13+H23)</f>
        <v>111.35972382599121</v>
      </c>
      <c r="I27" s="68">
        <f>(I13+I23)</f>
        <v>42.23209586386707</v>
      </c>
      <c r="J27" s="27">
        <f>(J13+J23)</f>
        <v>38.83725354973079</v>
      </c>
      <c r="K27" s="28">
        <f>(K13+K23)</f>
        <v>34.40229646301625</v>
      </c>
      <c r="L27" s="27">
        <f>(L13+L23)</f>
        <v>74.6338204868943</v>
      </c>
      <c r="M27" s="27">
        <f>(M13+M21+M23)</f>
        <v>68.75369321696166</v>
      </c>
      <c r="N27" s="67"/>
      <c r="O27" s="69"/>
    </row>
    <row r="28" spans="1:13" ht="15">
      <c r="A28" t="s">
        <v>33</v>
      </c>
      <c r="D28" s="65">
        <f>(D21+D23)</f>
        <v>22.636363636363633</v>
      </c>
      <c r="E28" s="65">
        <f>(E21+E23)</f>
        <v>30.472505425213942</v>
      </c>
      <c r="F28" s="65">
        <f>(F21+F23)</f>
        <v>64.9884822114154</v>
      </c>
      <c r="G28" s="65">
        <f>(G21+G23)</f>
        <v>46.26650660264106</v>
      </c>
      <c r="H28" s="65">
        <f>H23</f>
        <v>15</v>
      </c>
      <c r="I28" s="65">
        <f>I23</f>
        <v>15</v>
      </c>
      <c r="J28" s="66">
        <f>J23</f>
        <v>11</v>
      </c>
      <c r="K28" s="65">
        <f>K23</f>
        <v>7</v>
      </c>
      <c r="L28" s="65">
        <f>L23</f>
        <v>12</v>
      </c>
      <c r="M28" s="66">
        <f>(M21+M23)</f>
        <v>53.095238095238095</v>
      </c>
    </row>
    <row r="29" spans="4:13" ht="15">
      <c r="D29" s="55"/>
      <c r="E29" s="55"/>
      <c r="F29" s="55"/>
      <c r="G29" s="55"/>
      <c r="H29" s="55"/>
      <c r="I29" s="55"/>
      <c r="J29" s="38"/>
      <c r="K29" s="38"/>
      <c r="L29" s="38"/>
      <c r="M29" s="38"/>
    </row>
    <row r="30" spans="4:15" s="131" customFormat="1" ht="15.75">
      <c r="D30" s="132" t="s">
        <v>34</v>
      </c>
      <c r="E30" s="133"/>
      <c r="F30" s="133"/>
      <c r="G30" s="134">
        <f>(D27+E27+F27+G27)/4/1000</f>
        <v>0.05283480581020119</v>
      </c>
      <c r="H30" s="132" t="s">
        <v>35</v>
      </c>
      <c r="I30" s="133"/>
      <c r="J30" s="133"/>
      <c r="K30" s="133"/>
      <c r="L30" s="134">
        <f>(I27+J27+K27+L27+M27)/5/1000</f>
        <v>0.05177183191609402</v>
      </c>
      <c r="O30" s="135"/>
    </row>
    <row r="31" spans="4:9" ht="15">
      <c r="D31" s="30"/>
      <c r="E31" s="30"/>
      <c r="F31" s="30"/>
      <c r="G31" s="30"/>
      <c r="H31" s="30"/>
      <c r="I31" s="30"/>
    </row>
    <row r="32" spans="4:9" ht="15">
      <c r="D32" s="30"/>
      <c r="E32" s="30"/>
      <c r="F32" s="30"/>
      <c r="G32" s="30"/>
      <c r="H32" s="30"/>
      <c r="I32" s="30"/>
    </row>
    <row r="33" spans="4:9" ht="15.75">
      <c r="D33" s="9" t="s">
        <v>36</v>
      </c>
      <c r="E33" s="71"/>
      <c r="F33" s="30"/>
      <c r="G33" s="30"/>
      <c r="H33" s="30"/>
      <c r="I33" s="30"/>
    </row>
    <row r="34" spans="4:15" s="72" customFormat="1" ht="12.75">
      <c r="D34" s="73"/>
      <c r="E34" s="73"/>
      <c r="F34" s="73"/>
      <c r="G34" s="73"/>
      <c r="H34" s="73"/>
      <c r="I34" s="73"/>
      <c r="O34" s="74"/>
    </row>
    <row r="35" spans="7:9" ht="15">
      <c r="G35" s="31"/>
      <c r="H35" s="31"/>
      <c r="I35" s="31"/>
    </row>
    <row r="36" spans="4:13" ht="15">
      <c r="D36" s="40" t="s">
        <v>37</v>
      </c>
      <c r="E36" s="40" t="s">
        <v>38</v>
      </c>
      <c r="F36" s="40" t="s">
        <v>39</v>
      </c>
      <c r="G36" s="40" t="s">
        <v>40</v>
      </c>
      <c r="H36" s="40" t="s">
        <v>41</v>
      </c>
      <c r="I36" s="40" t="s">
        <v>7</v>
      </c>
      <c r="J36" s="41" t="s">
        <v>42</v>
      </c>
      <c r="K36" s="41" t="s">
        <v>43</v>
      </c>
      <c r="L36" s="41" t="s">
        <v>44</v>
      </c>
      <c r="M36" s="41" t="s">
        <v>45</v>
      </c>
    </row>
    <row r="37" spans="7:9" ht="15">
      <c r="G37" s="31"/>
      <c r="H37" s="31"/>
      <c r="I37" s="31"/>
    </row>
    <row r="38" spans="1:15" s="45" customFormat="1" ht="12.75">
      <c r="A38" s="45" t="s">
        <v>46</v>
      </c>
      <c r="D38" s="45">
        <v>0</v>
      </c>
      <c r="E38" s="45">
        <v>0</v>
      </c>
      <c r="F38" s="45">
        <v>0</v>
      </c>
      <c r="G38" s="75">
        <v>0</v>
      </c>
      <c r="H38" s="75">
        <v>0</v>
      </c>
      <c r="I38" s="75">
        <v>0</v>
      </c>
      <c r="J38" s="75">
        <v>0</v>
      </c>
      <c r="K38" s="75">
        <v>0</v>
      </c>
      <c r="L38" s="75">
        <v>0</v>
      </c>
      <c r="M38" s="75">
        <v>0</v>
      </c>
      <c r="O38" s="47"/>
    </row>
    <row r="39" spans="1:15" s="45" customFormat="1" ht="12.75">
      <c r="A39" s="45" t="s">
        <v>47</v>
      </c>
      <c r="D39" s="45">
        <v>0</v>
      </c>
      <c r="E39" s="45">
        <v>0</v>
      </c>
      <c r="F39" s="45">
        <v>0</v>
      </c>
      <c r="G39" s="75">
        <v>0</v>
      </c>
      <c r="H39" s="75">
        <v>0</v>
      </c>
      <c r="I39" s="75">
        <v>0</v>
      </c>
      <c r="J39" s="75">
        <v>0</v>
      </c>
      <c r="K39" s="75">
        <v>0</v>
      </c>
      <c r="L39" s="75">
        <v>0</v>
      </c>
      <c r="M39" s="75">
        <v>0</v>
      </c>
      <c r="O39" s="47"/>
    </row>
    <row r="40" spans="1:15" s="45" customFormat="1" ht="12.75">
      <c r="A40" s="45" t="s">
        <v>48</v>
      </c>
      <c r="D40" s="45">
        <v>0</v>
      </c>
      <c r="E40" s="45">
        <v>0</v>
      </c>
      <c r="F40" s="45">
        <v>0</v>
      </c>
      <c r="G40" s="45">
        <v>0</v>
      </c>
      <c r="H40" s="45">
        <v>0</v>
      </c>
      <c r="I40" s="45">
        <v>0</v>
      </c>
      <c r="J40" s="45">
        <v>0</v>
      </c>
      <c r="K40" s="45">
        <v>0</v>
      </c>
      <c r="L40" s="45">
        <v>0</v>
      </c>
      <c r="M40" s="45">
        <v>0</v>
      </c>
      <c r="O40" s="47"/>
    </row>
    <row r="41" spans="1:15" s="45" customFormat="1" ht="12.75">
      <c r="A41" s="45" t="s">
        <v>49</v>
      </c>
      <c r="D41" s="17">
        <f>D27/100*18</f>
        <v>8.30232833741082</v>
      </c>
      <c r="E41" s="45">
        <v>1</v>
      </c>
      <c r="F41" s="45">
        <v>1</v>
      </c>
      <c r="G41" s="75">
        <v>1</v>
      </c>
      <c r="H41" s="75">
        <v>1</v>
      </c>
      <c r="I41" s="75">
        <v>1</v>
      </c>
      <c r="J41" s="75">
        <v>1</v>
      </c>
      <c r="K41" s="75">
        <v>1</v>
      </c>
      <c r="L41" s="75">
        <v>1</v>
      </c>
      <c r="M41" s="75">
        <v>1</v>
      </c>
      <c r="O41" s="47"/>
    </row>
    <row r="42" spans="1:15" s="45" customFormat="1" ht="12.75">
      <c r="A42" s="45" t="s">
        <v>50</v>
      </c>
      <c r="D42" s="16">
        <v>33</v>
      </c>
      <c r="E42" s="45">
        <v>50</v>
      </c>
      <c r="F42" s="45">
        <v>55</v>
      </c>
      <c r="G42" s="75">
        <v>20</v>
      </c>
      <c r="H42" s="75">
        <v>6</v>
      </c>
      <c r="I42" s="75">
        <v>2</v>
      </c>
      <c r="J42" s="75">
        <v>5</v>
      </c>
      <c r="K42" s="75">
        <v>4</v>
      </c>
      <c r="L42" s="75">
        <v>3</v>
      </c>
      <c r="M42" s="75">
        <v>15</v>
      </c>
      <c r="O42" s="47"/>
    </row>
    <row r="43" spans="7:13" ht="15">
      <c r="G43" s="31"/>
      <c r="H43" s="31"/>
      <c r="I43" s="31"/>
      <c r="J43" s="31"/>
      <c r="K43" s="31"/>
      <c r="L43" s="31"/>
      <c r="M43" s="31"/>
    </row>
    <row r="44" spans="1:15" s="78" customFormat="1" ht="12.75">
      <c r="A44" s="76" t="s">
        <v>51</v>
      </c>
      <c r="B44" s="76"/>
      <c r="C44" s="76"/>
      <c r="D44" s="23">
        <f>SUM(D38:D42)</f>
        <v>41.30232833741082</v>
      </c>
      <c r="E44" s="76">
        <f>SUM(E38:E42)</f>
        <v>51</v>
      </c>
      <c r="F44" s="76">
        <f aca="true" t="shared" si="5" ref="F44:M44">SUM(F38:F42)</f>
        <v>56</v>
      </c>
      <c r="G44" s="77">
        <f t="shared" si="5"/>
        <v>21</v>
      </c>
      <c r="H44" s="77">
        <f t="shared" si="5"/>
        <v>7</v>
      </c>
      <c r="I44" s="77">
        <f t="shared" si="5"/>
        <v>3</v>
      </c>
      <c r="J44" s="77">
        <f t="shared" si="5"/>
        <v>6</v>
      </c>
      <c r="K44" s="77">
        <f t="shared" si="5"/>
        <v>5</v>
      </c>
      <c r="L44" s="77">
        <f t="shared" si="5"/>
        <v>4</v>
      </c>
      <c r="M44" s="77">
        <f t="shared" si="5"/>
        <v>16</v>
      </c>
      <c r="O44" s="79"/>
    </row>
    <row r="45" ht="15"/>
    <row r="46" ht="15"/>
    <row r="47" ht="15"/>
    <row r="48" ht="15"/>
    <row r="49" spans="4:5" ht="15.75">
      <c r="D49" s="80" t="s">
        <v>52</v>
      </c>
      <c r="E49" s="81"/>
    </row>
    <row r="50" s="82" customFormat="1" ht="15">
      <c r="O50" s="83"/>
    </row>
    <row r="51" ht="15"/>
    <row r="52" spans="4:13" ht="15">
      <c r="D52" s="40" t="s">
        <v>37</v>
      </c>
      <c r="E52" s="40" t="s">
        <v>38</v>
      </c>
      <c r="F52" s="40" t="s">
        <v>39</v>
      </c>
      <c r="G52" s="40" t="s">
        <v>40</v>
      </c>
      <c r="H52" s="40" t="s">
        <v>41</v>
      </c>
      <c r="I52" s="40" t="s">
        <v>7</v>
      </c>
      <c r="J52" s="41" t="s">
        <v>42</v>
      </c>
      <c r="K52" s="41" t="s">
        <v>43</v>
      </c>
      <c r="L52" s="41" t="s">
        <v>44</v>
      </c>
      <c r="M52" s="41" t="s">
        <v>45</v>
      </c>
    </row>
    <row r="53" spans="5:7" ht="14.25" customHeight="1">
      <c r="E53" s="31"/>
      <c r="F53" s="31"/>
      <c r="G53" s="31"/>
    </row>
    <row r="54" spans="1:9" ht="15">
      <c r="A54" s="45" t="s">
        <v>53</v>
      </c>
      <c r="D54" s="30"/>
      <c r="E54" s="30"/>
      <c r="F54" s="30"/>
      <c r="G54" s="30"/>
      <c r="H54" s="30"/>
      <c r="I54" s="30"/>
    </row>
    <row r="55" spans="1:9" ht="15">
      <c r="A55" t="s">
        <v>54</v>
      </c>
      <c r="D55" s="30"/>
      <c r="E55" s="30"/>
      <c r="F55" s="30"/>
      <c r="G55" s="30"/>
      <c r="H55" s="30"/>
      <c r="I55" s="30"/>
    </row>
    <row r="56" spans="1:15" s="45" customFormat="1" ht="12.75">
      <c r="A56" s="4" t="s">
        <v>55</v>
      </c>
      <c r="D56" s="15">
        <v>100</v>
      </c>
      <c r="E56" s="15">
        <v>115</v>
      </c>
      <c r="F56" s="7">
        <v>140</v>
      </c>
      <c r="G56" s="7">
        <v>150</v>
      </c>
      <c r="H56" s="7">
        <v>15000</v>
      </c>
      <c r="I56" s="7">
        <v>500</v>
      </c>
      <c r="J56" s="7">
        <v>800</v>
      </c>
      <c r="K56" s="7">
        <v>400</v>
      </c>
      <c r="L56" s="7">
        <v>1200</v>
      </c>
      <c r="M56" s="15">
        <v>1700</v>
      </c>
      <c r="O56" s="47"/>
    </row>
    <row r="57" spans="1:13" ht="15">
      <c r="A57" t="s">
        <v>56</v>
      </c>
      <c r="D57" s="84">
        <f aca="true" t="shared" si="6" ref="D57:M57">D56/(10000/D9)</f>
        <v>70.08</v>
      </c>
      <c r="E57" s="84">
        <f t="shared" si="6"/>
        <v>80.592</v>
      </c>
      <c r="F57" s="84">
        <f t="shared" si="6"/>
        <v>98.112</v>
      </c>
      <c r="G57" s="84">
        <f t="shared" si="6"/>
        <v>105.12</v>
      </c>
      <c r="H57" s="84">
        <f t="shared" si="6"/>
        <v>1708.1999999999998</v>
      </c>
      <c r="I57" s="84">
        <f t="shared" si="6"/>
        <v>100.74000000000001</v>
      </c>
      <c r="J57" s="31">
        <f t="shared" si="6"/>
        <v>315.36</v>
      </c>
      <c r="K57" s="84">
        <f t="shared" si="6"/>
        <v>280.32</v>
      </c>
      <c r="L57" s="31">
        <f t="shared" si="6"/>
        <v>262.8</v>
      </c>
      <c r="M57" s="84">
        <f t="shared" si="6"/>
        <v>1191.36</v>
      </c>
    </row>
    <row r="58" spans="1:13" ht="15">
      <c r="A58" t="s">
        <v>57</v>
      </c>
      <c r="D58" s="84">
        <f aca="true" t="shared" si="7" ref="D58:M58">D57*(1000/D7)</f>
        <v>23.36</v>
      </c>
      <c r="E58" s="84">
        <f t="shared" si="7"/>
        <v>67.16</v>
      </c>
      <c r="F58" s="84">
        <f t="shared" si="7"/>
        <v>89.19272727272727</v>
      </c>
      <c r="G58" s="84">
        <f t="shared" si="7"/>
        <v>150.17142857142858</v>
      </c>
      <c r="H58" s="84">
        <f t="shared" si="7"/>
        <v>854.0999999999999</v>
      </c>
      <c r="I58" s="84">
        <f t="shared" si="7"/>
        <v>100.74000000000001</v>
      </c>
      <c r="J58">
        <f t="shared" si="7"/>
        <v>157.68</v>
      </c>
      <c r="K58" s="84">
        <f t="shared" si="7"/>
        <v>80.09142857142857</v>
      </c>
      <c r="L58" s="84">
        <f t="shared" si="7"/>
        <v>105.12</v>
      </c>
      <c r="M58" s="84">
        <f t="shared" si="7"/>
        <v>595.68</v>
      </c>
    </row>
    <row r="59" spans="4:9" ht="15">
      <c r="D59" s="30"/>
      <c r="E59" s="30"/>
      <c r="F59" s="30"/>
      <c r="G59" s="30"/>
      <c r="H59" s="30"/>
      <c r="I59" s="30"/>
    </row>
    <row r="60" spans="1:15" s="39" customFormat="1" ht="12.75">
      <c r="A60" s="5" t="s">
        <v>55</v>
      </c>
      <c r="D60" s="6">
        <f aca="true" t="shared" si="8" ref="D60:M60">D61*(10000/D9)</f>
        <v>156.9634703196347</v>
      </c>
      <c r="E60" s="6">
        <f t="shared" si="8"/>
        <v>239.72602739726028</v>
      </c>
      <c r="F60" s="6">
        <f t="shared" si="8"/>
        <v>139.84018264840182</v>
      </c>
      <c r="G60" s="6">
        <f t="shared" si="8"/>
        <v>149.82876712328766</v>
      </c>
      <c r="H60" s="6">
        <f t="shared" si="8"/>
        <v>43905.865823674045</v>
      </c>
      <c r="I60" s="6">
        <f t="shared" si="8"/>
        <v>501.29045066507837</v>
      </c>
      <c r="J60" s="6">
        <f t="shared" si="8"/>
        <v>887.8741755454083</v>
      </c>
      <c r="K60" s="6">
        <f t="shared" si="8"/>
        <v>428.0821917808219</v>
      </c>
      <c r="L60" s="6">
        <f t="shared" si="8"/>
        <v>1438.3561643835617</v>
      </c>
      <c r="M60" s="6">
        <f t="shared" si="8"/>
        <v>1593.892694063927</v>
      </c>
      <c r="O60" s="85"/>
    </row>
    <row r="61" spans="1:15" s="45" customFormat="1" ht="12.75">
      <c r="A61" s="45" t="s">
        <v>56</v>
      </c>
      <c r="D61" s="7">
        <v>110</v>
      </c>
      <c r="E61" s="7">
        <v>168</v>
      </c>
      <c r="F61" s="7">
        <v>98</v>
      </c>
      <c r="G61" s="7">
        <v>105</v>
      </c>
      <c r="H61" s="15">
        <v>5000</v>
      </c>
      <c r="I61" s="7">
        <v>101</v>
      </c>
      <c r="J61" s="75">
        <v>350</v>
      </c>
      <c r="K61" s="7">
        <v>300</v>
      </c>
      <c r="L61" s="75">
        <v>315</v>
      </c>
      <c r="M61" s="7">
        <v>1117</v>
      </c>
      <c r="O61" s="47"/>
    </row>
    <row r="62" spans="1:13" ht="15">
      <c r="A62" t="s">
        <v>57</v>
      </c>
      <c r="D62" s="84">
        <f aca="true" t="shared" si="9" ref="D62:M62">D61*(1000/D7)</f>
        <v>36.666666666666664</v>
      </c>
      <c r="E62" s="84">
        <f t="shared" si="9"/>
        <v>140</v>
      </c>
      <c r="F62" s="84">
        <f t="shared" si="9"/>
        <v>89.0909090909091</v>
      </c>
      <c r="G62" s="84">
        <f t="shared" si="9"/>
        <v>150</v>
      </c>
      <c r="H62" s="84">
        <f t="shared" si="9"/>
        <v>2500</v>
      </c>
      <c r="I62" s="84">
        <f t="shared" si="9"/>
        <v>101</v>
      </c>
      <c r="J62">
        <f t="shared" si="9"/>
        <v>175</v>
      </c>
      <c r="K62" s="84">
        <f t="shared" si="9"/>
        <v>85.71428571428571</v>
      </c>
      <c r="L62" s="84">
        <f t="shared" si="9"/>
        <v>126</v>
      </c>
      <c r="M62" s="84">
        <f t="shared" si="9"/>
        <v>558.5</v>
      </c>
    </row>
    <row r="63" spans="4:9" ht="15">
      <c r="D63" s="30"/>
      <c r="E63" s="30"/>
      <c r="F63" s="30"/>
      <c r="G63" s="30"/>
      <c r="H63" s="30"/>
      <c r="I63" s="30"/>
    </row>
    <row r="64" spans="1:15" s="39" customFormat="1" ht="12.75">
      <c r="A64" s="5" t="s">
        <v>55</v>
      </c>
      <c r="D64" s="6">
        <f aca="true" t="shared" si="10" ref="D64:M64">D65*(10000/D9)</f>
        <v>428.0821917808219</v>
      </c>
      <c r="E64" s="6">
        <f t="shared" si="10"/>
        <v>256.8493150684931</v>
      </c>
      <c r="F64" s="6">
        <f t="shared" si="10"/>
        <v>235.44520547945206</v>
      </c>
      <c r="G64" s="6">
        <f t="shared" si="10"/>
        <v>149.82876712328766</v>
      </c>
      <c r="H64" s="6">
        <f t="shared" si="10"/>
        <v>29855.988760098353</v>
      </c>
      <c r="I64" s="6">
        <f t="shared" si="10"/>
        <v>501.29045066507837</v>
      </c>
      <c r="J64" s="6">
        <f t="shared" si="10"/>
        <v>887.8741755454083</v>
      </c>
      <c r="K64" s="6">
        <f t="shared" si="10"/>
        <v>499.42922374429224</v>
      </c>
      <c r="L64" s="6">
        <f t="shared" si="10"/>
        <v>1438.3561643835617</v>
      </c>
      <c r="M64" s="6">
        <f t="shared" si="10"/>
        <v>3187.785388127854</v>
      </c>
      <c r="O64" s="85"/>
    </row>
    <row r="65" spans="1:13" ht="15">
      <c r="A65" t="s">
        <v>56</v>
      </c>
      <c r="D65" s="84">
        <f aca="true" t="shared" si="11" ref="D65:M65">D66/(1000/D7)</f>
        <v>300</v>
      </c>
      <c r="E65" s="84">
        <f t="shared" si="11"/>
        <v>180</v>
      </c>
      <c r="F65" s="84">
        <f t="shared" si="11"/>
        <v>165</v>
      </c>
      <c r="G65" s="84">
        <f t="shared" si="11"/>
        <v>105</v>
      </c>
      <c r="H65" s="84">
        <f t="shared" si="11"/>
        <v>3400</v>
      </c>
      <c r="I65" s="84">
        <f t="shared" si="11"/>
        <v>101</v>
      </c>
      <c r="J65" s="31">
        <f t="shared" si="11"/>
        <v>350</v>
      </c>
      <c r="K65" s="84">
        <f t="shared" si="11"/>
        <v>350</v>
      </c>
      <c r="L65" s="31">
        <f t="shared" si="11"/>
        <v>315</v>
      </c>
      <c r="M65" s="84">
        <f t="shared" si="11"/>
        <v>2234</v>
      </c>
    </row>
    <row r="66" spans="1:15" s="45" customFormat="1" ht="12.75">
      <c r="A66" s="45" t="s">
        <v>57</v>
      </c>
      <c r="D66" s="7">
        <v>100</v>
      </c>
      <c r="E66" s="45">
        <v>150</v>
      </c>
      <c r="F66" s="15">
        <v>150</v>
      </c>
      <c r="G66" s="15">
        <v>150</v>
      </c>
      <c r="H66" s="15">
        <v>1700</v>
      </c>
      <c r="I66" s="7">
        <v>101</v>
      </c>
      <c r="J66" s="45">
        <v>175</v>
      </c>
      <c r="K66" s="7">
        <v>100</v>
      </c>
      <c r="L66" s="7">
        <v>126</v>
      </c>
      <c r="M66" s="7">
        <v>1117</v>
      </c>
      <c r="O66" s="47"/>
    </row>
    <row r="67" spans="4:13" ht="15">
      <c r="D67" s="84"/>
      <c r="E67" s="84"/>
      <c r="F67" s="84"/>
      <c r="G67" s="84"/>
      <c r="H67" s="84"/>
      <c r="I67" s="84"/>
      <c r="K67" s="84"/>
      <c r="L67" s="84"/>
      <c r="M67" s="84"/>
    </row>
    <row r="68" spans="1:15" s="45" customFormat="1" ht="12.75">
      <c r="A68" s="45" t="s">
        <v>58</v>
      </c>
      <c r="D68" s="7">
        <f aca="true" t="shared" si="12" ref="D68:M68">(D61*12000)/(D9*100000)*1000</f>
        <v>1.8835616438356164</v>
      </c>
      <c r="E68" s="8">
        <f t="shared" si="12"/>
        <v>2.8767123287671232</v>
      </c>
      <c r="F68" s="8">
        <f t="shared" si="12"/>
        <v>1.678082191780822</v>
      </c>
      <c r="G68" s="8">
        <f t="shared" si="12"/>
        <v>1.797945205479452</v>
      </c>
      <c r="H68" s="7">
        <f>(H57*12000)/(H9*100000)*1000</f>
        <v>179.99999999999997</v>
      </c>
      <c r="I68" s="7">
        <f t="shared" si="12"/>
        <v>6.01548540798094</v>
      </c>
      <c r="J68" s="7">
        <f t="shared" si="12"/>
        <v>10.6544901065449</v>
      </c>
      <c r="K68" s="7">
        <f t="shared" si="12"/>
        <v>5.136986301369863</v>
      </c>
      <c r="L68" s="7">
        <f t="shared" si="12"/>
        <v>17.26027397260274</v>
      </c>
      <c r="M68" s="7">
        <f t="shared" si="12"/>
        <v>19.126712328767123</v>
      </c>
      <c r="O68" s="47"/>
    </row>
    <row r="69" spans="4:9" ht="15">
      <c r="D69" s="30"/>
      <c r="E69" s="30"/>
      <c r="F69" s="30"/>
      <c r="G69" s="30"/>
      <c r="H69" s="30"/>
      <c r="I69" s="30"/>
    </row>
    <row r="70" spans="4:9" ht="15">
      <c r="D70" s="30"/>
      <c r="E70" s="30"/>
      <c r="F70" s="30"/>
      <c r="G70" s="30"/>
      <c r="H70" s="30"/>
      <c r="I70" s="30"/>
    </row>
    <row r="71" spans="1:15" s="45" customFormat="1" ht="12.75">
      <c r="A71" s="45" t="s">
        <v>59</v>
      </c>
      <c r="D71" s="86">
        <v>0</v>
      </c>
      <c r="E71" s="86">
        <v>0</v>
      </c>
      <c r="F71" s="86">
        <v>0</v>
      </c>
      <c r="G71" s="86">
        <v>0</v>
      </c>
      <c r="H71" s="86">
        <v>0</v>
      </c>
      <c r="I71" s="86">
        <v>0</v>
      </c>
      <c r="J71" s="86">
        <v>0</v>
      </c>
      <c r="K71" s="86">
        <v>0</v>
      </c>
      <c r="L71" s="86">
        <v>0</v>
      </c>
      <c r="M71" s="86">
        <v>0</v>
      </c>
      <c r="O71" s="47"/>
    </row>
    <row r="72" spans="4:15" s="45" customFormat="1" ht="12.75">
      <c r="D72" s="86"/>
      <c r="E72" s="86"/>
      <c r="F72" s="86"/>
      <c r="G72" s="86"/>
      <c r="H72" s="86"/>
      <c r="I72" s="86"/>
      <c r="O72" s="47"/>
    </row>
    <row r="73" spans="1:15" s="45" customFormat="1" ht="12.75">
      <c r="A73" s="45" t="s">
        <v>60</v>
      </c>
      <c r="D73" s="86">
        <v>0</v>
      </c>
      <c r="E73" s="86">
        <v>0</v>
      </c>
      <c r="F73" s="86">
        <v>0</v>
      </c>
      <c r="G73" s="86">
        <v>0</v>
      </c>
      <c r="H73" s="86">
        <v>0</v>
      </c>
      <c r="I73" s="86">
        <v>0</v>
      </c>
      <c r="J73" s="86">
        <v>0</v>
      </c>
      <c r="K73" s="86">
        <v>0</v>
      </c>
      <c r="L73" s="86">
        <v>0</v>
      </c>
      <c r="M73" s="86">
        <v>0</v>
      </c>
      <c r="O73" s="47"/>
    </row>
    <row r="74" spans="4:9" ht="15">
      <c r="D74" s="30"/>
      <c r="E74" s="30"/>
      <c r="F74" s="30"/>
      <c r="G74" s="30"/>
      <c r="H74" s="30"/>
      <c r="I74" s="30"/>
    </row>
    <row r="75" spans="1:15" s="87" customFormat="1" ht="12.75">
      <c r="A75" s="87" t="s">
        <v>61</v>
      </c>
      <c r="D75" s="10">
        <f>D68+D71+D73</f>
        <v>1.8835616438356164</v>
      </c>
      <c r="E75" s="11">
        <f aca="true" t="shared" si="13" ref="E75:M75">E68+E71+E73</f>
        <v>2.8767123287671232</v>
      </c>
      <c r="F75" s="11">
        <f t="shared" si="13"/>
        <v>1.678082191780822</v>
      </c>
      <c r="G75" s="11">
        <f t="shared" si="13"/>
        <v>1.797945205479452</v>
      </c>
      <c r="H75" s="10">
        <f t="shared" si="13"/>
        <v>179.99999999999997</v>
      </c>
      <c r="I75" s="10">
        <f t="shared" si="13"/>
        <v>6.01548540798094</v>
      </c>
      <c r="J75" s="88">
        <f t="shared" si="13"/>
        <v>10.6544901065449</v>
      </c>
      <c r="K75" s="88">
        <f t="shared" si="13"/>
        <v>5.136986301369863</v>
      </c>
      <c r="L75" s="88">
        <f t="shared" si="13"/>
        <v>17.26027397260274</v>
      </c>
      <c r="M75" s="88">
        <f t="shared" si="13"/>
        <v>19.126712328767123</v>
      </c>
      <c r="O75" s="89"/>
    </row>
    <row r="76" spans="4:9" ht="15">
      <c r="D76" s="30"/>
      <c r="E76" s="30"/>
      <c r="F76" s="30"/>
      <c r="G76" s="30"/>
      <c r="H76" s="30"/>
      <c r="I76" s="30"/>
    </row>
    <row r="77" spans="4:9" ht="15">
      <c r="D77" s="30"/>
      <c r="E77" s="30"/>
      <c r="F77" s="30"/>
      <c r="G77" s="30"/>
      <c r="H77" s="30"/>
      <c r="I77" s="30"/>
    </row>
    <row r="78" spans="4:9" ht="15">
      <c r="D78" s="30"/>
      <c r="E78" s="30"/>
      <c r="F78" s="30"/>
      <c r="G78" s="30"/>
      <c r="H78" s="30"/>
      <c r="I78" s="30"/>
    </row>
    <row r="79" spans="4:9" ht="15">
      <c r="D79" s="30"/>
      <c r="E79" s="30"/>
      <c r="F79" s="30"/>
      <c r="G79" s="30"/>
      <c r="H79" s="30"/>
      <c r="I79" s="30"/>
    </row>
    <row r="80" spans="4:9" ht="15.75">
      <c r="D80" s="90" t="s">
        <v>62</v>
      </c>
      <c r="E80" s="30"/>
      <c r="F80" s="30"/>
      <c r="G80" s="30"/>
      <c r="H80" s="30"/>
      <c r="I80" s="30"/>
    </row>
    <row r="81" spans="4:15" s="91" customFormat="1" ht="15">
      <c r="D81" s="92"/>
      <c r="E81" s="92"/>
      <c r="F81" s="92"/>
      <c r="G81" s="92"/>
      <c r="H81" s="92"/>
      <c r="I81" s="92"/>
      <c r="O81" s="93"/>
    </row>
    <row r="82" spans="4:9" ht="15">
      <c r="D82" s="30"/>
      <c r="E82" s="30"/>
      <c r="F82" s="30"/>
      <c r="G82" s="30"/>
      <c r="H82" s="30"/>
      <c r="I82" s="30"/>
    </row>
    <row r="83" spans="4:13" ht="15">
      <c r="D83" s="40" t="s">
        <v>37</v>
      </c>
      <c r="E83" s="40" t="s">
        <v>38</v>
      </c>
      <c r="F83" s="40" t="s">
        <v>39</v>
      </c>
      <c r="G83" s="40" t="s">
        <v>40</v>
      </c>
      <c r="H83" s="40" t="s">
        <v>41</v>
      </c>
      <c r="I83" s="40" t="s">
        <v>7</v>
      </c>
      <c r="J83" s="41" t="s">
        <v>42</v>
      </c>
      <c r="K83" s="41" t="s">
        <v>43</v>
      </c>
      <c r="L83" s="41" t="s">
        <v>44</v>
      </c>
      <c r="M83" s="41" t="s">
        <v>45</v>
      </c>
    </row>
    <row r="84" spans="4:9" ht="15">
      <c r="D84" s="30"/>
      <c r="E84" s="30"/>
      <c r="F84" s="30"/>
      <c r="G84" s="30"/>
      <c r="H84" s="30"/>
      <c r="I84" s="30"/>
    </row>
    <row r="85" spans="1:15" s="70" customFormat="1" ht="12.75">
      <c r="A85" s="67" t="s">
        <v>63</v>
      </c>
      <c r="B85" s="67"/>
      <c r="C85" s="67"/>
      <c r="D85" s="94">
        <f aca="true" t="shared" si="14" ref="D85:M85">(D13+D21+D23)</f>
        <v>46.124046318949</v>
      </c>
      <c r="E85" s="94">
        <f t="shared" si="14"/>
        <v>39.867578498248086</v>
      </c>
      <c r="F85" s="94">
        <f t="shared" si="14"/>
        <v>73.60063252836338</v>
      </c>
      <c r="G85" s="94">
        <f t="shared" si="14"/>
        <v>51.74696589524431</v>
      </c>
      <c r="H85" s="94">
        <f t="shared" si="14"/>
        <v>111.35972382599121</v>
      </c>
      <c r="I85" s="94">
        <f t="shared" si="14"/>
        <v>42.23209586386707</v>
      </c>
      <c r="J85" s="1">
        <f t="shared" si="14"/>
        <v>38.83725354973079</v>
      </c>
      <c r="K85" s="2">
        <f t="shared" si="14"/>
        <v>34.40229646301625</v>
      </c>
      <c r="L85" s="3">
        <f t="shared" si="14"/>
        <v>74.6338204868943</v>
      </c>
      <c r="M85" s="1">
        <f t="shared" si="14"/>
        <v>68.75369321696166</v>
      </c>
      <c r="N85" s="67"/>
      <c r="O85" s="69"/>
    </row>
    <row r="86" spans="4:12" ht="15">
      <c r="D86" s="30"/>
      <c r="E86" s="30"/>
      <c r="F86" s="30"/>
      <c r="G86" s="30"/>
      <c r="H86" s="30"/>
      <c r="I86" s="30"/>
      <c r="L86" s="30"/>
    </row>
    <row r="87" spans="1:15" s="78" customFormat="1" ht="12.75">
      <c r="A87" s="76" t="s">
        <v>64</v>
      </c>
      <c r="B87" s="76"/>
      <c r="C87" s="76"/>
      <c r="D87" s="77">
        <f aca="true" t="shared" si="15" ref="D87:M87">SUM(D38:D42)</f>
        <v>41.30232833741082</v>
      </c>
      <c r="E87" s="76">
        <f t="shared" si="15"/>
        <v>51</v>
      </c>
      <c r="F87" s="76">
        <f t="shared" si="15"/>
        <v>56</v>
      </c>
      <c r="G87" s="77">
        <f t="shared" si="15"/>
        <v>21</v>
      </c>
      <c r="H87" s="77">
        <f t="shared" si="15"/>
        <v>7</v>
      </c>
      <c r="I87" s="77">
        <f t="shared" si="15"/>
        <v>3</v>
      </c>
      <c r="J87" s="77">
        <f t="shared" si="15"/>
        <v>6</v>
      </c>
      <c r="K87" s="77">
        <f t="shared" si="15"/>
        <v>5</v>
      </c>
      <c r="L87" s="77">
        <f t="shared" si="15"/>
        <v>4</v>
      </c>
      <c r="M87" s="77">
        <f t="shared" si="15"/>
        <v>16</v>
      </c>
      <c r="O87" s="79"/>
    </row>
    <row r="88" spans="1:15" s="81" customFormat="1" ht="12.75">
      <c r="A88" s="87"/>
      <c r="B88" s="87"/>
      <c r="C88" s="87"/>
      <c r="D88" s="87"/>
      <c r="E88" s="87"/>
      <c r="F88" s="87"/>
      <c r="G88" s="95"/>
      <c r="H88" s="95"/>
      <c r="I88" s="95"/>
      <c r="J88" s="95"/>
      <c r="K88" s="95"/>
      <c r="L88" s="95"/>
      <c r="M88" s="95"/>
      <c r="O88" s="96"/>
    </row>
    <row r="89" spans="1:15" s="87" customFormat="1" ht="12.75">
      <c r="A89" s="87" t="s">
        <v>65</v>
      </c>
      <c r="D89" s="12">
        <f aca="true" t="shared" si="16" ref="D89:M89">D68+D71+D73</f>
        <v>1.8835616438356164</v>
      </c>
      <c r="E89" s="11">
        <f t="shared" si="16"/>
        <v>2.8767123287671232</v>
      </c>
      <c r="F89" s="11">
        <f t="shared" si="16"/>
        <v>1.678082191780822</v>
      </c>
      <c r="G89" s="11">
        <f t="shared" si="16"/>
        <v>1.797945205479452</v>
      </c>
      <c r="H89" s="10">
        <f t="shared" si="16"/>
        <v>179.99999999999997</v>
      </c>
      <c r="I89" s="10">
        <f t="shared" si="16"/>
        <v>6.01548540798094</v>
      </c>
      <c r="J89" s="88">
        <f t="shared" si="16"/>
        <v>10.6544901065449</v>
      </c>
      <c r="K89" s="88">
        <f t="shared" si="16"/>
        <v>5.136986301369863</v>
      </c>
      <c r="L89" s="88">
        <f t="shared" si="16"/>
        <v>17.26027397260274</v>
      </c>
      <c r="M89" s="88">
        <f t="shared" si="16"/>
        <v>19.126712328767123</v>
      </c>
      <c r="O89" s="89"/>
    </row>
    <row r="90" spans="1:15" s="81" customFormat="1" ht="12.75">
      <c r="A90" s="87"/>
      <c r="B90" s="87"/>
      <c r="C90" s="87"/>
      <c r="D90" s="87"/>
      <c r="E90" s="87"/>
      <c r="F90" s="87"/>
      <c r="G90" s="95"/>
      <c r="H90" s="95"/>
      <c r="I90" s="95"/>
      <c r="J90" s="95"/>
      <c r="K90" s="95"/>
      <c r="L90" s="95"/>
      <c r="M90" s="95"/>
      <c r="O90" s="96"/>
    </row>
    <row r="91" spans="1:15" s="99" customFormat="1" ht="15">
      <c r="A91" s="97" t="s">
        <v>66</v>
      </c>
      <c r="B91" s="97"/>
      <c r="C91" s="97"/>
      <c r="D91" s="18">
        <f aca="true" t="shared" si="17" ref="D91:M91">(D85+D87-D89)</f>
        <v>85.5428130125242</v>
      </c>
      <c r="E91" s="98">
        <f t="shared" si="17"/>
        <v>87.99086616948097</v>
      </c>
      <c r="F91" s="98">
        <f t="shared" si="17"/>
        <v>127.92255033658256</v>
      </c>
      <c r="G91" s="98">
        <f t="shared" si="17"/>
        <v>70.94902068976485</v>
      </c>
      <c r="H91" s="98">
        <f t="shared" si="17"/>
        <v>-61.64027617400876</v>
      </c>
      <c r="I91" s="98">
        <f t="shared" si="17"/>
        <v>39.21661045588613</v>
      </c>
      <c r="J91" s="98">
        <f t="shared" si="17"/>
        <v>34.18276344318589</v>
      </c>
      <c r="K91" s="98">
        <f t="shared" si="17"/>
        <v>34.26531016164638</v>
      </c>
      <c r="L91" s="98">
        <f t="shared" si="17"/>
        <v>61.373546514291554</v>
      </c>
      <c r="M91" s="98">
        <f t="shared" si="17"/>
        <v>65.62698088819454</v>
      </c>
      <c r="O91" s="100"/>
    </row>
    <row r="92" spans="1:15" s="81" customFormat="1" ht="12.75">
      <c r="A92" s="87"/>
      <c r="B92" s="87"/>
      <c r="C92" s="87"/>
      <c r="D92" s="87"/>
      <c r="E92" s="87"/>
      <c r="F92" s="87"/>
      <c r="G92" s="95"/>
      <c r="H92" s="95"/>
      <c r="I92" s="95"/>
      <c r="J92" s="95"/>
      <c r="K92" s="95"/>
      <c r="L92" s="95"/>
      <c r="M92" s="95"/>
      <c r="O92" s="96"/>
    </row>
    <row r="93" spans="1:15" s="99" customFormat="1" ht="15">
      <c r="A93" s="20" t="s">
        <v>67</v>
      </c>
      <c r="B93" s="97"/>
      <c r="C93" s="97"/>
      <c r="D93" s="21">
        <f>D7/((D9*(0.06-(D21/1000)-(D23/1000))))</f>
        <v>11.457187614571875</v>
      </c>
      <c r="E93" s="21">
        <f>E7/((E9*(0.06-(E21/1000)-(E23/1000))))</f>
        <v>5.7990994216809355</v>
      </c>
      <c r="F93" s="21">
        <f>F7/((F9*(0.06-(F21/1000)-(F23/1000))))</f>
        <v>-31.465175912714848</v>
      </c>
      <c r="G93" s="98">
        <f>G7/((G9*(0.06-(G21/1000)-(G23/1000))))</f>
        <v>7.273156352779642</v>
      </c>
      <c r="H93" s="98">
        <f>H7/((H9*(0.2-(H23/1000))))</f>
        <v>9.493160178091685</v>
      </c>
      <c r="I93" s="98">
        <f>I7/((I9*(0.06-(I23/1000))))</f>
        <v>11.029492863918115</v>
      </c>
      <c r="J93" s="98">
        <f>J7/((J9*(0.08-(J23/1000))))</f>
        <v>7.352995242612077</v>
      </c>
      <c r="K93" s="98">
        <f>K7/((K9*(0.06-(K23/1000))))</f>
        <v>9.423192900835703</v>
      </c>
      <c r="L93" s="101">
        <f>L7/((L9*(0.08-(L23/1000))))</f>
        <v>16.78753693258125</v>
      </c>
      <c r="M93" s="101">
        <f>M7/((M9*(0.06-(M21/1000)-(M23/1000))))</f>
        <v>41.3320736891828</v>
      </c>
      <c r="O93" s="100"/>
    </row>
    <row r="94" spans="1:15" s="81" customFormat="1" ht="12.75">
      <c r="A94" s="87"/>
      <c r="B94" s="87"/>
      <c r="C94" s="87"/>
      <c r="D94" s="87"/>
      <c r="E94" s="87"/>
      <c r="F94" s="87"/>
      <c r="G94" s="95"/>
      <c r="H94" s="95"/>
      <c r="I94" s="95"/>
      <c r="J94" s="95"/>
      <c r="K94" s="95"/>
      <c r="L94" s="95"/>
      <c r="M94" s="95"/>
      <c r="O94" s="96"/>
    </row>
    <row r="95" spans="1:15" s="99" customFormat="1" ht="15">
      <c r="A95" s="20" t="s">
        <v>68</v>
      </c>
      <c r="B95" s="97"/>
      <c r="C95" s="97"/>
      <c r="D95" s="21">
        <f aca="true" t="shared" si="18" ref="D95:I95">(D91*D9*30)/(D9*60)</f>
        <v>42.7714065062621</v>
      </c>
      <c r="E95" s="21">
        <f t="shared" si="18"/>
        <v>43.99543308474048</v>
      </c>
      <c r="F95" s="21">
        <f t="shared" si="18"/>
        <v>63.96127516829129</v>
      </c>
      <c r="G95" s="98">
        <f t="shared" si="18"/>
        <v>35.47451034488243</v>
      </c>
      <c r="H95" s="98">
        <f>(H91*H9*30)/(H9*200)</f>
        <v>-9.246041426101314</v>
      </c>
      <c r="I95" s="98">
        <f t="shared" si="18"/>
        <v>19.608305227943067</v>
      </c>
      <c r="J95" s="98">
        <f>(J91*J9*30)/(J9*80)</f>
        <v>12.81853629119471</v>
      </c>
      <c r="K95" s="98">
        <f>(K91*K9*30)/(K9*60)</f>
        <v>17.13265508082319</v>
      </c>
      <c r="L95" s="101">
        <f>(L91*L9*30)/(L9*80)</f>
        <v>23.015079942859334</v>
      </c>
      <c r="M95" s="101">
        <f>(M91*M9*30)/(M9*60)</f>
        <v>32.81349044409727</v>
      </c>
      <c r="O95" s="100"/>
    </row>
    <row r="96" spans="1:15" s="81" customFormat="1" ht="12.75">
      <c r="A96" s="87"/>
      <c r="B96" s="87"/>
      <c r="C96" s="87"/>
      <c r="D96" s="87"/>
      <c r="E96" s="87"/>
      <c r="F96" s="87"/>
      <c r="G96" s="95"/>
      <c r="H96" s="95"/>
      <c r="I96" s="95"/>
      <c r="J96" s="95"/>
      <c r="K96" s="95"/>
      <c r="L96" s="95"/>
      <c r="M96" s="95"/>
      <c r="O96" s="96"/>
    </row>
    <row r="97" spans="1:15" s="81" customFormat="1" ht="12.75">
      <c r="A97" s="87"/>
      <c r="B97" s="87"/>
      <c r="C97" s="87"/>
      <c r="D97" s="87"/>
      <c r="E97" s="87"/>
      <c r="F97" s="87"/>
      <c r="G97" s="95"/>
      <c r="H97" s="95"/>
      <c r="I97" s="95"/>
      <c r="J97" s="95"/>
      <c r="K97" s="95"/>
      <c r="L97" s="95"/>
      <c r="M97" s="95"/>
      <c r="O97" s="96"/>
    </row>
    <row r="98" spans="1:15" s="81" customFormat="1" ht="12.75">
      <c r="A98" s="87"/>
      <c r="B98" s="87"/>
      <c r="C98" s="87"/>
      <c r="D98" s="87"/>
      <c r="E98" s="87"/>
      <c r="F98" s="87"/>
      <c r="G98" s="95"/>
      <c r="H98" s="95"/>
      <c r="I98" s="95"/>
      <c r="J98" s="95"/>
      <c r="K98" s="95"/>
      <c r="L98" s="95"/>
      <c r="M98" s="95"/>
      <c r="O98" s="96"/>
    </row>
    <row r="99" spans="1:15" s="81" customFormat="1" ht="12.75">
      <c r="A99" s="87"/>
      <c r="B99" s="87"/>
      <c r="C99" s="87"/>
      <c r="D99" s="87"/>
      <c r="E99" s="87"/>
      <c r="F99" s="87"/>
      <c r="G99" s="95"/>
      <c r="H99" s="95"/>
      <c r="I99" s="95"/>
      <c r="J99" s="95"/>
      <c r="K99" s="95"/>
      <c r="L99" s="95"/>
      <c r="M99" s="95"/>
      <c r="O99" s="96"/>
    </row>
    <row r="100" spans="4:15" s="102" customFormat="1" ht="15.75">
      <c r="D100" s="103" t="s">
        <v>69</v>
      </c>
      <c r="E100" s="104"/>
      <c r="F100" s="104"/>
      <c r="G100" s="104"/>
      <c r="H100" s="104"/>
      <c r="I100" s="104"/>
      <c r="O100" s="105"/>
    </row>
    <row r="101" spans="4:15" s="91" customFormat="1" ht="15">
      <c r="D101" s="92"/>
      <c r="E101" s="92"/>
      <c r="F101" s="92"/>
      <c r="G101" s="92"/>
      <c r="H101" s="92"/>
      <c r="I101" s="92"/>
      <c r="O101" s="93"/>
    </row>
    <row r="102" spans="1:9" ht="15">
      <c r="A102" s="45"/>
      <c r="D102" s="30"/>
      <c r="E102" s="30"/>
      <c r="F102" s="30"/>
      <c r="G102" s="30"/>
      <c r="H102" s="30"/>
      <c r="I102" s="30"/>
    </row>
    <row r="103" spans="4:13" ht="15">
      <c r="D103" s="40" t="s">
        <v>37</v>
      </c>
      <c r="E103" s="40" t="s">
        <v>38</v>
      </c>
      <c r="F103" s="40" t="s">
        <v>39</v>
      </c>
      <c r="G103" s="40" t="s">
        <v>40</v>
      </c>
      <c r="H103" s="40" t="s">
        <v>41</v>
      </c>
      <c r="I103" s="40" t="s">
        <v>7</v>
      </c>
      <c r="J103" s="41" t="s">
        <v>42</v>
      </c>
      <c r="K103" s="41" t="s">
        <v>43</v>
      </c>
      <c r="L103" s="41" t="s">
        <v>44</v>
      </c>
      <c r="M103" s="41" t="s">
        <v>45</v>
      </c>
    </row>
    <row r="104" spans="1:9" ht="15">
      <c r="A104" s="45"/>
      <c r="D104" s="30"/>
      <c r="E104" s="30"/>
      <c r="F104" s="30"/>
      <c r="G104" s="30"/>
      <c r="H104" s="30"/>
      <c r="I104" s="30"/>
    </row>
    <row r="105" spans="1:15" s="108" customFormat="1" ht="15.75">
      <c r="A105" s="19" t="s">
        <v>70</v>
      </c>
      <c r="B105" s="106"/>
      <c r="C105" s="106"/>
      <c r="D105" s="13">
        <v>30</v>
      </c>
      <c r="E105" s="13">
        <v>9</v>
      </c>
      <c r="F105" s="13">
        <v>10</v>
      </c>
      <c r="G105" s="107">
        <v>7</v>
      </c>
      <c r="H105" s="22">
        <v>10</v>
      </c>
      <c r="I105" s="107">
        <v>30</v>
      </c>
      <c r="J105" s="107">
        <v>100</v>
      </c>
      <c r="K105" s="107">
        <v>50</v>
      </c>
      <c r="L105" s="107">
        <v>40</v>
      </c>
      <c r="M105" s="107">
        <v>10</v>
      </c>
      <c r="O105" s="109"/>
    </row>
    <row r="106" spans="4:9" ht="15">
      <c r="D106" s="30"/>
      <c r="E106" s="110"/>
      <c r="F106" s="110"/>
      <c r="G106" s="30"/>
      <c r="H106" s="30"/>
      <c r="I106" s="30"/>
    </row>
    <row r="107" spans="1:15" s="106" customFormat="1" ht="15.75">
      <c r="A107" s="106" t="s">
        <v>71</v>
      </c>
      <c r="D107" s="14">
        <f>1/(1/D20+1/D105)</f>
        <v>0.3264094955489614</v>
      </c>
      <c r="E107" s="14">
        <f>1/(1/E20+1/E105)</f>
        <v>0.33689839572192515</v>
      </c>
      <c r="F107" s="14">
        <f>1/(1/F20+1/F105)</f>
        <v>0.3846153846153846</v>
      </c>
      <c r="G107" s="14">
        <f>1/(1/G20+1/G105)</f>
        <v>0.5185185185185186</v>
      </c>
      <c r="H107" s="13">
        <f aca="true" t="shared" si="19" ref="H107:M107">1/(0+1/H105)</f>
        <v>10</v>
      </c>
      <c r="I107" s="13">
        <f t="shared" si="19"/>
        <v>30</v>
      </c>
      <c r="J107" s="111">
        <f t="shared" si="19"/>
        <v>100</v>
      </c>
      <c r="K107" s="111">
        <f t="shared" si="19"/>
        <v>50</v>
      </c>
      <c r="L107" s="111">
        <f t="shared" si="19"/>
        <v>40</v>
      </c>
      <c r="M107" s="111">
        <f t="shared" si="19"/>
        <v>10</v>
      </c>
      <c r="O107" s="112"/>
    </row>
    <row r="108" spans="4:9" ht="15">
      <c r="D108" s="30"/>
      <c r="E108" s="30"/>
      <c r="F108" s="30"/>
      <c r="G108" s="30"/>
      <c r="H108" s="30"/>
      <c r="I108" s="30"/>
    </row>
    <row r="109" spans="1:15" s="106" customFormat="1" ht="28.5" customHeight="1">
      <c r="A109" s="126" t="s">
        <v>72</v>
      </c>
      <c r="B109" s="127"/>
      <c r="C109" s="127"/>
      <c r="D109" s="13">
        <f aca="true" t="shared" si="20" ref="D109:M109">((D9*30)/D105)/D9</f>
        <v>1</v>
      </c>
      <c r="E109" s="13">
        <f t="shared" si="20"/>
        <v>3.3333333333333335</v>
      </c>
      <c r="F109" s="13">
        <f t="shared" si="20"/>
        <v>3</v>
      </c>
      <c r="G109" s="13">
        <f t="shared" si="20"/>
        <v>4.285714285714286</v>
      </c>
      <c r="H109" s="13">
        <f t="shared" si="20"/>
        <v>3</v>
      </c>
      <c r="I109" s="13">
        <f t="shared" si="20"/>
        <v>1</v>
      </c>
      <c r="J109" s="14">
        <f t="shared" si="20"/>
        <v>0.3</v>
      </c>
      <c r="K109" s="14">
        <f t="shared" si="20"/>
        <v>0.6</v>
      </c>
      <c r="L109" s="14">
        <f t="shared" si="20"/>
        <v>0.75</v>
      </c>
      <c r="M109" s="13">
        <f t="shared" si="20"/>
        <v>3</v>
      </c>
      <c r="O109" s="112"/>
    </row>
    <row r="110" spans="4:9" ht="15">
      <c r="D110" s="30"/>
      <c r="E110" s="30"/>
      <c r="F110" s="30"/>
      <c r="G110" s="30"/>
      <c r="H110" s="30"/>
      <c r="I110" s="30"/>
    </row>
    <row r="111" spans="1:15" s="106" customFormat="1" ht="30" customHeight="1">
      <c r="A111" s="126" t="s">
        <v>73</v>
      </c>
      <c r="B111" s="127"/>
      <c r="C111" s="127"/>
      <c r="D111" s="113" t="s">
        <v>74</v>
      </c>
      <c r="E111" s="113" t="s">
        <v>74</v>
      </c>
      <c r="F111" s="113" t="s">
        <v>74</v>
      </c>
      <c r="G111" s="113" t="s">
        <v>74</v>
      </c>
      <c r="H111" s="114">
        <f aca="true" t="shared" si="21" ref="H111:M111">H109</f>
        <v>3</v>
      </c>
      <c r="I111" s="111">
        <f t="shared" si="21"/>
        <v>1</v>
      </c>
      <c r="J111" s="115">
        <f t="shared" si="21"/>
        <v>0.3</v>
      </c>
      <c r="K111" s="115">
        <f t="shared" si="21"/>
        <v>0.6</v>
      </c>
      <c r="L111" s="115">
        <f t="shared" si="21"/>
        <v>0.75</v>
      </c>
      <c r="M111" s="111">
        <f t="shared" si="21"/>
        <v>3</v>
      </c>
      <c r="O111" s="112"/>
    </row>
    <row r="112" spans="7:13" ht="15">
      <c r="G112" s="31"/>
      <c r="H112" s="31"/>
      <c r="I112" s="31"/>
      <c r="J112" s="31"/>
      <c r="K112" s="31"/>
      <c r="L112" s="31"/>
      <c r="M112" s="31"/>
    </row>
    <row r="113" spans="4:9" ht="15">
      <c r="D113" s="32"/>
      <c r="E113" s="30"/>
      <c r="F113" s="30"/>
      <c r="G113" s="30"/>
      <c r="H113" s="30"/>
      <c r="I113" s="30"/>
    </row>
    <row r="114" spans="4:9" ht="15">
      <c r="D114" s="32"/>
      <c r="E114" s="30"/>
      <c r="F114" s="30"/>
      <c r="G114" s="30"/>
      <c r="H114" s="30"/>
      <c r="I114" s="30"/>
    </row>
    <row r="115" spans="4:9" ht="15">
      <c r="D115" s="32"/>
      <c r="E115" s="30"/>
      <c r="F115" s="30"/>
      <c r="G115" s="30"/>
      <c r="H115" s="30"/>
      <c r="I115" s="30"/>
    </row>
    <row r="116" spans="4:9" ht="15">
      <c r="D116" s="30"/>
      <c r="E116" s="30"/>
      <c r="F116" s="30"/>
      <c r="G116" s="30"/>
      <c r="H116" s="30"/>
      <c r="I116" s="30"/>
    </row>
    <row r="117" ht="15"/>
    <row r="118" ht="15"/>
  </sheetData>
  <sheetProtection/>
  <mergeCells count="4">
    <mergeCell ref="D30:F30"/>
    <mergeCell ref="H30:K30"/>
    <mergeCell ref="A109:C109"/>
    <mergeCell ref="A111:C111"/>
  </mergeCells>
  <hyperlinks>
    <hyperlink ref="A60" r:id="rId1" display="Posti/TWh"/>
    <hyperlink ref="A64" r:id="rId2" display="Posti/TWh"/>
    <hyperlink ref="A56" r:id="rId3" display="Posti/TWh"/>
    <hyperlink ref="D33" r:id="rId4" display="COSTI ESTERNI"/>
    <hyperlink ref="H66" r:id="rId5" display="http://www.aspoitalia.net/documenti/libero/finlandiaitalia.html"/>
    <hyperlink ref="H61" r:id="rId6" display="http://www.uce-uu.nl/REW 03-1 Lysen.pdf"/>
    <hyperlink ref="F66" r:id="rId7" display="http://www.uce-uu.nl/REW 03-1 Lysen.pdf"/>
    <hyperlink ref="G66" r:id="rId8" display="http://www.uce-uu.nl/REW 03-1 Lysen.pdf"/>
    <hyperlink ref="M56" r:id="rId9" display="http://itabia.ing.univaq.it/Itabia_docs/PDF/LA POSIZIONE DI ITABIA.PDF"/>
    <hyperlink ref="D56" r:id="rId10" display="http://itabia.ing.univaq.it/Itabia_docs/PDF/LA POSIZIONE DI ITABIA.PDF"/>
    <hyperlink ref="E56" r:id="rId11" display="http://itabia.ing.univaq.it/Itabia_docs/PDF/LA POSIZIONE DI ITABIA.PDF"/>
    <hyperlink ref="D41" r:id="rId12" display="http://web.mit.edu/nuclearpower"/>
    <hyperlink ref="D91" r:id="rId13" display="http://web.mit.edu/nuclearpower"/>
    <hyperlink ref="D42" r:id="rId14" display="http://externe.jrc.es/infosys.html"/>
    <hyperlink ref="A105" r:id="rId15" display="E.R.O.E.I."/>
    <hyperlink ref="H105" r:id="rId16" display="http://www.area.trieste.it/html/press/magazine/31/31_4.htm"/>
    <hyperlink ref="A93" r:id="rId17" display="PAY-BACK TIME"/>
    <hyperlink ref="A95" r:id="rId18" display="PAY-BACK TIME"/>
    <hyperlink ref="D44" r:id="rId19" display="http://www.neimagazine.com/story.asp?storyCode=2035326"/>
  </hyperlinks>
  <printOptions/>
  <pageMargins left="0.7" right="0.7" top="0.75" bottom="0.75" header="0.3" footer="0.3"/>
  <pageSetup horizontalDpi="600" verticalDpi="600" orientation="portrait" paperSize="9" r:id="rId22"/>
  <legacyDrawing r:id="rId21"/>
</worksheet>
</file>

<file path=xl/worksheets/sheet2.xml><?xml version="1.0" encoding="utf-8"?>
<worksheet xmlns="http://schemas.openxmlformats.org/spreadsheetml/2006/main" xmlns:r="http://schemas.openxmlformats.org/officeDocument/2006/relationships">
  <dimension ref="C4:J14"/>
  <sheetViews>
    <sheetView showGridLines="0" zoomScalePageLayoutView="0" workbookViewId="0" topLeftCell="A1">
      <selection activeCell="K7" sqref="K7"/>
    </sheetView>
  </sheetViews>
  <sheetFormatPr defaultColWidth="9.140625" defaultRowHeight="15"/>
  <cols>
    <col min="3" max="3" width="13.57421875" style="0" customWidth="1"/>
    <col min="4" max="4" width="14.7109375" style="38" customWidth="1"/>
    <col min="5" max="5" width="7.00390625" style="117" customWidth="1"/>
    <col min="6" max="6" width="1.421875" style="0" customWidth="1"/>
    <col min="7" max="7" width="9.140625" style="33" customWidth="1"/>
    <col min="8" max="8" width="4.28125" style="0" customWidth="1"/>
    <col min="9" max="9" width="1.7109375" style="0" bestFit="1" customWidth="1"/>
    <col min="10" max="10" width="7.28125" style="0" customWidth="1"/>
  </cols>
  <sheetData>
    <row r="4" spans="3:10" ht="30" customHeight="1">
      <c r="C4" s="118"/>
      <c r="D4" s="119" t="str">
        <f>Foglio1!P4</f>
        <v>Costo attuale 
€/MWh</v>
      </c>
      <c r="E4" s="128" t="s">
        <v>76</v>
      </c>
      <c r="F4" s="129"/>
      <c r="G4" s="130"/>
      <c r="H4" s="128" t="s">
        <v>78</v>
      </c>
      <c r="I4" s="129"/>
      <c r="J4" s="130"/>
    </row>
    <row r="5" spans="3:10" ht="18" customHeight="1">
      <c r="C5" s="120" t="s">
        <v>79</v>
      </c>
      <c r="D5" s="121">
        <f>Foglio1!P5</f>
        <v>46.124046318949</v>
      </c>
      <c r="E5" s="122">
        <v>40</v>
      </c>
      <c r="F5" s="123" t="s">
        <v>77</v>
      </c>
      <c r="G5" s="124">
        <v>60</v>
      </c>
      <c r="H5" s="125">
        <v>10</v>
      </c>
      <c r="I5" s="123" t="s">
        <v>77</v>
      </c>
      <c r="J5" s="124">
        <v>100</v>
      </c>
    </row>
    <row r="6" spans="3:10" ht="18" customHeight="1">
      <c r="C6" s="120" t="s">
        <v>80</v>
      </c>
      <c r="D6" s="121">
        <f>Foglio1!P6</f>
        <v>39.867578498248086</v>
      </c>
      <c r="E6" s="122">
        <v>30</v>
      </c>
      <c r="F6" s="123" t="s">
        <v>77</v>
      </c>
      <c r="G6" s="124">
        <v>50</v>
      </c>
      <c r="H6" s="125">
        <v>18</v>
      </c>
      <c r="I6" s="123" t="s">
        <v>77</v>
      </c>
      <c r="J6" s="124">
        <v>150</v>
      </c>
    </row>
    <row r="7" spans="3:10" ht="18" customHeight="1">
      <c r="C7" s="120" t="s">
        <v>81</v>
      </c>
      <c r="D7" s="121">
        <f>Foglio1!P7</f>
        <v>73.60063252836338</v>
      </c>
      <c r="E7" s="122">
        <v>70</v>
      </c>
      <c r="F7" s="123" t="s">
        <v>77</v>
      </c>
      <c r="G7" s="124">
        <v>95</v>
      </c>
      <c r="H7" s="125">
        <v>25</v>
      </c>
      <c r="I7" s="123" t="s">
        <v>77</v>
      </c>
      <c r="J7" s="124">
        <v>110</v>
      </c>
    </row>
    <row r="8" spans="3:10" ht="18" customHeight="1">
      <c r="C8" s="120" t="s">
        <v>82</v>
      </c>
      <c r="D8" s="121">
        <f>Foglio1!P8</f>
        <v>51.74696589524431</v>
      </c>
      <c r="E8" s="122">
        <v>50</v>
      </c>
      <c r="F8" s="123" t="s">
        <v>77</v>
      </c>
      <c r="G8" s="124">
        <v>60</v>
      </c>
      <c r="H8" s="125">
        <v>5</v>
      </c>
      <c r="I8" s="123" t="s">
        <v>77</v>
      </c>
      <c r="J8" s="124">
        <v>10</v>
      </c>
    </row>
    <row r="9" spans="3:10" ht="18" customHeight="1">
      <c r="C9" s="120" t="s">
        <v>83</v>
      </c>
      <c r="D9" s="121">
        <f>Foglio1!P9</f>
        <v>111.35972382599121</v>
      </c>
      <c r="E9" s="122">
        <v>60</v>
      </c>
      <c r="F9" s="123" t="s">
        <v>77</v>
      </c>
      <c r="G9" s="124">
        <v>99</v>
      </c>
      <c r="H9" s="125">
        <v>1</v>
      </c>
      <c r="I9" s="123" t="s">
        <v>77</v>
      </c>
      <c r="J9" s="124">
        <v>5</v>
      </c>
    </row>
    <row r="10" spans="3:10" ht="18" customHeight="1">
      <c r="C10" s="120" t="s">
        <v>84</v>
      </c>
      <c r="D10" s="121">
        <f>Foglio1!P10</f>
        <v>42.23209586386707</v>
      </c>
      <c r="E10" s="122">
        <v>35</v>
      </c>
      <c r="F10" s="123" t="s">
        <v>77</v>
      </c>
      <c r="G10" s="124">
        <v>70</v>
      </c>
      <c r="H10" s="125">
        <v>1</v>
      </c>
      <c r="I10" s="123" t="s">
        <v>77</v>
      </c>
      <c r="J10" s="124">
        <v>4</v>
      </c>
    </row>
    <row r="11" spans="3:10" ht="18" customHeight="1">
      <c r="C11" s="120" t="s">
        <v>88</v>
      </c>
      <c r="D11" s="121">
        <f>Foglio1!P11</f>
        <v>38.83725354973079</v>
      </c>
      <c r="E11" s="122">
        <v>40</v>
      </c>
      <c r="F11" s="123" t="s">
        <v>77</v>
      </c>
      <c r="G11" s="124">
        <v>60</v>
      </c>
      <c r="H11" s="125">
        <v>1</v>
      </c>
      <c r="I11" s="123" t="s">
        <v>77</v>
      </c>
      <c r="J11" s="124">
        <v>10</v>
      </c>
    </row>
    <row r="12" spans="3:10" ht="18" customHeight="1">
      <c r="C12" s="120" t="s">
        <v>85</v>
      </c>
      <c r="D12" s="121">
        <f>Foglio1!P12</f>
        <v>34.40229646301625</v>
      </c>
      <c r="E12" s="122">
        <v>30</v>
      </c>
      <c r="F12" s="123" t="s">
        <v>77</v>
      </c>
      <c r="G12" s="124">
        <v>95</v>
      </c>
      <c r="H12" s="125">
        <v>2</v>
      </c>
      <c r="I12" s="123" t="s">
        <v>77</v>
      </c>
      <c r="J12" s="124">
        <v>6</v>
      </c>
    </row>
    <row r="13" spans="3:10" ht="18" customHeight="1">
      <c r="C13" s="120" t="s">
        <v>86</v>
      </c>
      <c r="D13" s="121">
        <f>Foglio1!P13</f>
        <v>74.6338204868943</v>
      </c>
      <c r="E13" s="122">
        <v>70</v>
      </c>
      <c r="F13" s="123" t="s">
        <v>77</v>
      </c>
      <c r="G13" s="124">
        <v>90</v>
      </c>
      <c r="H13" s="125">
        <v>1</v>
      </c>
      <c r="I13" s="123" t="s">
        <v>77</v>
      </c>
      <c r="J13" s="124">
        <v>4</v>
      </c>
    </row>
    <row r="14" spans="3:10" ht="18" customHeight="1">
      <c r="C14" s="120" t="s">
        <v>87</v>
      </c>
      <c r="D14" s="121">
        <f>Foglio1!P14</f>
        <v>68.75369321696166</v>
      </c>
      <c r="E14" s="122">
        <v>60</v>
      </c>
      <c r="F14" s="123" t="s">
        <v>77</v>
      </c>
      <c r="G14" s="124">
        <v>90</v>
      </c>
      <c r="H14" s="125">
        <v>1</v>
      </c>
      <c r="I14" s="123" t="s">
        <v>77</v>
      </c>
      <c r="J14" s="124">
        <v>30</v>
      </c>
    </row>
    <row r="15" ht="15"/>
    <row r="16" ht="15"/>
    <row r="17" ht="15"/>
    <row r="18" ht="15"/>
    <row r="19" ht="15"/>
    <row r="20" ht="15"/>
    <row r="21" ht="15"/>
    <row r="22" ht="15"/>
    <row r="23" ht="15"/>
    <row r="24" ht="15"/>
    <row r="25" ht="15"/>
    <row r="26" ht="15"/>
    <row r="27" ht="15"/>
    <row r="28" ht="15"/>
    <row r="29" ht="15"/>
    <row r="30" ht="15"/>
    <row r="31" ht="15"/>
    <row r="32" ht="15"/>
    <row r="33" ht="15"/>
  </sheetData>
  <sheetProtection/>
  <mergeCells count="2">
    <mergeCell ref="E4:G4"/>
    <mergeCell ref="H4:J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BASTARDS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Francesco</dc:creator>
  <cp:keywords/>
  <dc:description/>
  <cp:lastModifiedBy>Francesco</cp:lastModifiedBy>
  <dcterms:created xsi:type="dcterms:W3CDTF">2013-08-17T20:33:03Z</dcterms:created>
  <dcterms:modified xsi:type="dcterms:W3CDTF">2013-08-17T22:27:01Z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